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240" yWindow="120" windowWidth="14940" windowHeight="9225"/>
  </bookViews>
  <sheets>
    <sheet name="Intro" sheetId="18" r:id="rId1"/>
    <sheet name="Graphs" sheetId="1" r:id="rId2"/>
    <sheet name="Inputs" sheetId="2" r:id="rId3"/>
    <sheet name="Investment" sheetId="3" r:id="rId4"/>
    <sheet name="Shares" sheetId="4" r:id="rId5"/>
    <sheet name="Conversion" sheetId="5" r:id="rId6"/>
    <sheet name="Prices" sheetId="6" r:id="rId7"/>
    <sheet name="Options" sheetId="7" r:id="rId8"/>
    <sheet name="Valuation" sheetId="8" r:id="rId9"/>
    <sheet name="Payout" sheetId="9" r:id="rId10"/>
    <sheet name="Formulas" sheetId="10" r:id="rId11"/>
    <sheet name="Boneyard" sheetId="11" state="hidden" r:id="rId12"/>
    <sheet name="Plot Support" sheetId="12" state="hidden" r:id="rId13"/>
    <sheet name="(FnCalls 1)" sheetId="13" state="hidden" r:id="rId14"/>
    <sheet name="(Other Variables)" sheetId="14" state="hidden" r:id="rId15"/>
    <sheet name="Labels" sheetId="15" r:id="rId16"/>
    <sheet name="(Ranges)" sheetId="16" state="hidden" r:id="rId17"/>
    <sheet name="(Import)" sheetId="17" state="hidden" r:id="rId18"/>
  </sheets>
  <definedNames>
    <definedName name="Event_Date" localSheetId="0">#REF!</definedName>
    <definedName name="Event_Date">Investment!$B$209:$D$209</definedName>
    <definedName name="Firm_Value_End">'Plot Support'!$B$56:$B$58</definedName>
    <definedName name="Firm_Value_Start">'Plot Support'!$B$50:$B$52</definedName>
    <definedName name="Invest_by_Origin_Common_plt">'Plot Support'!$B$35:$B$37</definedName>
    <definedName name="Invest_by_Origin_Conv_plt">'Plot Support'!$B$25:$B$27</definedName>
    <definedName name="Invest_by_Origin_Opt_plt">'Plot Support'!$B$45:$B$47</definedName>
    <definedName name="Invest_by_Origin_Preferred_plt">'Plot Support'!$B$30:$B$32</definedName>
    <definedName name="Invest_by_Origin_War_plt">'Plot Support'!$B$40:$B$42</definedName>
    <definedName name="Invest_End_Common_plt">'Plot Support'!$E$35:$E$37</definedName>
    <definedName name="Invest_End_Conv_plt">'Plot Support'!$E$25:$E$27</definedName>
    <definedName name="Invest_End_Opt_plt">'Plot Support'!$E$45:$E$47</definedName>
    <definedName name="Invest_End_Preferred_plt">'Plot Support'!$E$30:$E$32</definedName>
    <definedName name="Invest_End_War_plt">'Plot Support'!$E$40:$E$42</definedName>
    <definedName name="Investment_Net_End_plt">'Plot Support'!$C$19:$C$21</definedName>
    <definedName name="Investment_Net_New_plt">'Plot Support'!$B$19:$B$21</definedName>
    <definedName name="Payout_by_Origin_Last">'(Ranges)'!$A$1:$G$1</definedName>
    <definedName name="Payout_End">'(Ranges)'!$A$2:$U$2</definedName>
    <definedName name="Payout_EndLast">'(Ranges)'!$A$4:$G$4</definedName>
    <definedName name="_xlnm.Print_Titles" localSheetId="0">Intro!$1:$4</definedName>
    <definedName name="Return_Multiple">'(Ranges)'!$A$3:$G$3</definedName>
    <definedName name="Rounds_plt">'Plot Support'!$E$7:$E$9</definedName>
    <definedName name="Securities_plt">'(Ranges)'!$A$5:$G$5</definedName>
  </definedNames>
  <calcPr calcId="152511"/>
</workbook>
</file>

<file path=xl/calcChain.xml><?xml version="1.0" encoding="utf-8"?>
<calcChain xmlns="http://schemas.openxmlformats.org/spreadsheetml/2006/main">
  <c r="A1" i="2" l="1"/>
  <c r="A2" i="2"/>
  <c r="A3" i="2"/>
  <c r="A4" i="2"/>
  <c r="A5" i="2"/>
  <c r="A6" i="2"/>
  <c r="A7" i="2"/>
  <c r="A8" i="2"/>
  <c r="A11" i="2"/>
  <c r="A12" i="2"/>
  <c r="B13" i="2"/>
  <c r="C13" i="2"/>
  <c r="D13" i="2"/>
  <c r="A14" i="2"/>
  <c r="B14" i="2"/>
  <c r="C14" i="2"/>
  <c r="D14" i="2"/>
  <c r="H9" i="17" s="1"/>
  <c r="A15" i="2"/>
  <c r="A19" i="2"/>
  <c r="A20" i="2"/>
  <c r="A21" i="2"/>
  <c r="B22" i="2"/>
  <c r="C22" i="2"/>
  <c r="D22" i="2"/>
  <c r="A23" i="2"/>
  <c r="B23" i="2"/>
  <c r="C23" i="2"/>
  <c r="D23" i="2"/>
  <c r="A24" i="2"/>
  <c r="B24" i="2"/>
  <c r="C24" i="2"/>
  <c r="D24" i="2"/>
  <c r="A26" i="2"/>
  <c r="B27" i="2"/>
  <c r="C27" i="2"/>
  <c r="D27" i="2"/>
  <c r="E27" i="2"/>
  <c r="A28" i="2"/>
  <c r="B28" i="2"/>
  <c r="D9" i="11" s="1"/>
  <c r="C28" i="2"/>
  <c r="D28" i="2"/>
  <c r="H9" i="11" s="1"/>
  <c r="E28" i="2"/>
  <c r="H21" i="11" s="1"/>
  <c r="A29" i="2"/>
  <c r="B29" i="2"/>
  <c r="C29" i="2"/>
  <c r="AF9" i="17" s="1"/>
  <c r="D29" i="2"/>
  <c r="H10" i="11" s="1"/>
  <c r="E29" i="2"/>
  <c r="H22" i="11" s="1"/>
  <c r="A31" i="2"/>
  <c r="B32" i="2"/>
  <c r="C32" i="2"/>
  <c r="A33" i="2"/>
  <c r="B33" i="2"/>
  <c r="C33" i="2"/>
  <c r="B80" i="11" s="1"/>
  <c r="A34" i="2"/>
  <c r="B34" i="2"/>
  <c r="D32" i="3" s="1"/>
  <c r="C34" i="2"/>
  <c r="B36" i="2"/>
  <c r="C36" i="2"/>
  <c r="D36" i="2"/>
  <c r="E36" i="2"/>
  <c r="A37" i="2"/>
  <c r="A38" i="2"/>
  <c r="B38" i="2"/>
  <c r="C38" i="2"/>
  <c r="D38" i="2"/>
  <c r="A39" i="2"/>
  <c r="B39" i="2"/>
  <c r="C39" i="2"/>
  <c r="D39" i="2"/>
  <c r="D231" i="14" s="1"/>
  <c r="D230" i="3" s="1"/>
  <c r="D69" i="3" s="1"/>
  <c r="D146" i="3" s="1"/>
  <c r="A40" i="2"/>
  <c r="A44" i="2"/>
  <c r="A45" i="2"/>
  <c r="A46" i="2"/>
  <c r="A47" i="2"/>
  <c r="B48" i="2"/>
  <c r="C48" i="2"/>
  <c r="D48" i="2"/>
  <c r="A49" i="2"/>
  <c r="A50" i="2"/>
  <c r="B50" i="2"/>
  <c r="B38" i="11" s="1"/>
  <c r="C50" i="2"/>
  <c r="D50" i="2" s="1"/>
  <c r="B52" i="2"/>
  <c r="C52" i="2"/>
  <c r="A53" i="2"/>
  <c r="B53" i="2"/>
  <c r="C53" i="2"/>
  <c r="A55" i="2"/>
  <c r="B56" i="2"/>
  <c r="C56" i="2"/>
  <c r="D56" i="2"/>
  <c r="E56" i="2"/>
  <c r="A57" i="2"/>
  <c r="B57" i="2"/>
  <c r="C57" i="2"/>
  <c r="F10" i="17" s="1"/>
  <c r="D57" i="2"/>
  <c r="H12" i="11" s="1"/>
  <c r="E57" i="2"/>
  <c r="H24" i="11" s="1"/>
  <c r="A59" i="2"/>
  <c r="B60" i="2"/>
  <c r="C60" i="2"/>
  <c r="A61" i="2"/>
  <c r="B61" i="2"/>
  <c r="C61" i="2"/>
  <c r="B84" i="11" s="1"/>
  <c r="B63" i="2"/>
  <c r="C63" i="2"/>
  <c r="D63" i="2"/>
  <c r="E63" i="2"/>
  <c r="A64" i="2"/>
  <c r="A65" i="2"/>
  <c r="B65" i="2"/>
  <c r="B66" i="2" s="1"/>
  <c r="C65" i="2"/>
  <c r="D65" i="2"/>
  <c r="D66" i="2" s="1"/>
  <c r="A66" i="2"/>
  <c r="C66" i="2"/>
  <c r="A69" i="2"/>
  <c r="A70" i="2"/>
  <c r="A71" i="2"/>
  <c r="B73" i="2"/>
  <c r="C73" i="2"/>
  <c r="D73" i="2"/>
  <c r="A74" i="2"/>
  <c r="B74" i="2"/>
  <c r="B51" i="4" s="1"/>
  <c r="C74" i="2"/>
  <c r="D74" i="2"/>
  <c r="A76" i="2"/>
  <c r="B76" i="2"/>
  <c r="C76" i="2"/>
  <c r="AF10" i="17" s="1"/>
  <c r="D76" i="2"/>
  <c r="A78" i="2"/>
  <c r="B79" i="2"/>
  <c r="C79" i="2"/>
  <c r="B80" i="2"/>
  <c r="AJ10" i="17" s="1"/>
  <c r="C80" i="2"/>
  <c r="B82" i="2"/>
  <c r="C82" i="2"/>
  <c r="D82" i="2"/>
  <c r="E82" i="2"/>
  <c r="A83" i="2"/>
  <c r="B83" i="2"/>
  <c r="C83" i="2"/>
  <c r="D83" i="2"/>
  <c r="A88" i="2"/>
  <c r="A89" i="2"/>
  <c r="A90" i="2"/>
  <c r="A91" i="2"/>
  <c r="B91" i="2"/>
  <c r="D28" i="11" s="1"/>
  <c r="A92" i="2"/>
  <c r="B92" i="2"/>
  <c r="D29" i="11" s="1"/>
  <c r="B94" i="2"/>
  <c r="C94" i="2"/>
  <c r="D94" i="2"/>
  <c r="A95" i="2"/>
  <c r="A96" i="2"/>
  <c r="A97" i="2"/>
  <c r="A99" i="2"/>
  <c r="B100" i="2"/>
  <c r="C100" i="2"/>
  <c r="D100" i="2"/>
  <c r="E100" i="2"/>
  <c r="A101" i="2"/>
  <c r="B101" i="2"/>
  <c r="C101" i="2"/>
  <c r="D16" i="11" s="1"/>
  <c r="D101" i="2"/>
  <c r="E101" i="2"/>
  <c r="H16" i="11" s="1"/>
  <c r="A102" i="2"/>
  <c r="B102" i="2"/>
  <c r="C102" i="2"/>
  <c r="D102" i="2"/>
  <c r="F17" i="11" s="1"/>
  <c r="E102" i="2"/>
  <c r="H17" i="11" s="1"/>
  <c r="A103" i="2"/>
  <c r="A105" i="2"/>
  <c r="B106" i="2"/>
  <c r="C106" i="2"/>
  <c r="A107" i="2"/>
  <c r="B107" i="2"/>
  <c r="C107" i="2"/>
  <c r="B89" i="11" s="1"/>
  <c r="A108" i="2"/>
  <c r="B108" i="2"/>
  <c r="D41" i="3" s="1"/>
  <c r="C108" i="2"/>
  <c r="B110" i="2"/>
  <c r="C110" i="2"/>
  <c r="D110" i="2"/>
  <c r="E110" i="2"/>
  <c r="A111" i="2"/>
  <c r="A112" i="2"/>
  <c r="B112" i="2"/>
  <c r="C112" i="2"/>
  <c r="D112" i="2"/>
  <c r="A113" i="2"/>
  <c r="B113" i="2"/>
  <c r="C113" i="2"/>
  <c r="C114" i="2" s="1"/>
  <c r="D113" i="2"/>
  <c r="A114" i="2"/>
  <c r="D114" i="2"/>
  <c r="A118" i="2"/>
  <c r="A119" i="2"/>
  <c r="A120" i="2"/>
  <c r="A121" i="2"/>
  <c r="B121" i="2"/>
  <c r="A122" i="2"/>
  <c r="B122" i="2"/>
  <c r="A123" i="2"/>
  <c r="B123" i="2"/>
  <c r="A1" i="3"/>
  <c r="A2" i="3"/>
  <c r="A3" i="3"/>
  <c r="A4" i="3"/>
  <c r="A5" i="3"/>
  <c r="A6" i="3"/>
  <c r="A7" i="3"/>
  <c r="A8" i="3"/>
  <c r="A9" i="3"/>
  <c r="B10" i="3"/>
  <c r="C10" i="3"/>
  <c r="D10" i="3"/>
  <c r="E10" i="3"/>
  <c r="F10" i="3"/>
  <c r="A11" i="3"/>
  <c r="A12" i="3"/>
  <c r="A13" i="3"/>
  <c r="A14" i="3"/>
  <c r="A15" i="3"/>
  <c r="A16" i="3"/>
  <c r="A17" i="3"/>
  <c r="A18" i="3"/>
  <c r="A19" i="3"/>
  <c r="A20" i="3"/>
  <c r="A21" i="3"/>
  <c r="A22" i="3"/>
  <c r="A23" i="3"/>
  <c r="A24" i="3"/>
  <c r="A27" i="3"/>
  <c r="A28" i="3"/>
  <c r="B29" i="3"/>
  <c r="C29" i="3"/>
  <c r="D29" i="3"/>
  <c r="A30" i="3"/>
  <c r="A31" i="3"/>
  <c r="D31" i="3"/>
  <c r="A32" i="3"/>
  <c r="A33" i="3"/>
  <c r="D33" i="3"/>
  <c r="A34" i="3"/>
  <c r="A35" i="3"/>
  <c r="D35" i="3"/>
  <c r="A36" i="3"/>
  <c r="D36" i="3"/>
  <c r="A37" i="3"/>
  <c r="D37" i="3"/>
  <c r="A38" i="3"/>
  <c r="D38" i="3"/>
  <c r="AJ11" i="17" s="1"/>
  <c r="A39" i="3"/>
  <c r="A40" i="3"/>
  <c r="D40" i="3"/>
  <c r="A41" i="3"/>
  <c r="A42" i="3"/>
  <c r="D42" i="3"/>
  <c r="A43" i="3"/>
  <c r="D43" i="3"/>
  <c r="A47" i="3"/>
  <c r="A48" i="3"/>
  <c r="B49" i="3"/>
  <c r="C49" i="3"/>
  <c r="D49" i="3"/>
  <c r="E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B98" i="3"/>
  <c r="C98" i="3"/>
  <c r="C100" i="3" s="1"/>
  <c r="D98" i="3"/>
  <c r="E98" i="3"/>
  <c r="A99" i="3"/>
  <c r="B99" i="3"/>
  <c r="C99" i="3"/>
  <c r="D99" i="3"/>
  <c r="A100" i="3"/>
  <c r="B100" i="3"/>
  <c r="A101" i="3"/>
  <c r="A102" i="3"/>
  <c r="B102" i="3"/>
  <c r="B103" i="3" s="1"/>
  <c r="C102" i="3"/>
  <c r="C179" i="3" s="1"/>
  <c r="C180" i="3" s="1"/>
  <c r="D102" i="3"/>
  <c r="D103" i="3" s="1"/>
  <c r="A103" i="3"/>
  <c r="A104" i="3"/>
  <c r="B104" i="3"/>
  <c r="C104" i="3"/>
  <c r="C181" i="3" s="1"/>
  <c r="D104" i="3"/>
  <c r="A105" i="3"/>
  <c r="A106" i="3"/>
  <c r="A107" i="3"/>
  <c r="A108" i="3"/>
  <c r="A109" i="3"/>
  <c r="A110" i="3"/>
  <c r="A111" i="3"/>
  <c r="A112" i="3"/>
  <c r="A113" i="3"/>
  <c r="A114" i="3"/>
  <c r="A115" i="3"/>
  <c r="A116" i="3"/>
  <c r="A117" i="3"/>
  <c r="A118" i="3"/>
  <c r="A119" i="3"/>
  <c r="A120" i="3"/>
  <c r="A121" i="3"/>
  <c r="A122" i="3"/>
  <c r="A123" i="3"/>
  <c r="A124" i="3"/>
  <c r="A125" i="3"/>
  <c r="A127" i="3"/>
  <c r="A128" i="3"/>
  <c r="A129" i="3"/>
  <c r="A130" i="3"/>
  <c r="B130" i="3"/>
  <c r="A131" i="3"/>
  <c r="B131" i="3"/>
  <c r="A132" i="3"/>
  <c r="A133" i="3"/>
  <c r="A134" i="3"/>
  <c r="B134" i="3"/>
  <c r="A135" i="3"/>
  <c r="A136" i="3"/>
  <c r="B136" i="3"/>
  <c r="A137" i="3"/>
  <c r="B137" i="3"/>
  <c r="A138" i="3"/>
  <c r="A139" i="3"/>
  <c r="B139" i="3"/>
  <c r="A140" i="3"/>
  <c r="B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B175" i="3"/>
  <c r="E175" i="3" s="1"/>
  <c r="C175" i="3"/>
  <c r="D175" i="3"/>
  <c r="A176" i="3"/>
  <c r="B176" i="3"/>
  <c r="C176" i="3"/>
  <c r="D176" i="3"/>
  <c r="A177" i="3"/>
  <c r="B177" i="3"/>
  <c r="A178" i="3"/>
  <c r="A179" i="3"/>
  <c r="D179" i="3"/>
  <c r="D180" i="3" s="1"/>
  <c r="A180" i="3"/>
  <c r="A181" i="3"/>
  <c r="D181" i="3"/>
  <c r="A182" i="3"/>
  <c r="A183" i="3"/>
  <c r="A184" i="3"/>
  <c r="A185" i="3"/>
  <c r="A186" i="3"/>
  <c r="A187" i="3"/>
  <c r="A188" i="3"/>
  <c r="A189" i="3"/>
  <c r="A190" i="3"/>
  <c r="A191" i="3"/>
  <c r="A192" i="3"/>
  <c r="A193" i="3"/>
  <c r="A194" i="3"/>
  <c r="A195" i="3"/>
  <c r="A196" i="3"/>
  <c r="A197" i="3"/>
  <c r="A198" i="3"/>
  <c r="A199" i="3"/>
  <c r="A200" i="3"/>
  <c r="A201" i="3"/>
  <c r="A202" i="3"/>
  <c r="A206" i="3"/>
  <c r="A207" i="3"/>
  <c r="B208" i="3"/>
  <c r="C208" i="3"/>
  <c r="D208" i="3"/>
  <c r="A209" i="3"/>
  <c r="B209" i="3"/>
  <c r="B290" i="3" s="1"/>
  <c r="B53" i="3" s="1"/>
  <c r="C209" i="3"/>
  <c r="C7" i="4" s="1"/>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8" i="3"/>
  <c r="A289" i="3"/>
  <c r="A290" i="3"/>
  <c r="A291" i="3"/>
  <c r="A292" i="3"/>
  <c r="A293" i="3"/>
  <c r="A294" i="3"/>
  <c r="A295" i="3"/>
  <c r="A296" i="3"/>
  <c r="B296" i="3"/>
  <c r="B59" i="3" s="1"/>
  <c r="C296" i="3"/>
  <c r="D296" i="3"/>
  <c r="A297" i="3"/>
  <c r="A298" i="3"/>
  <c r="A299" i="3"/>
  <c r="A300" i="3"/>
  <c r="A301" i="3"/>
  <c r="A302" i="3"/>
  <c r="A1" i="4"/>
  <c r="A2" i="4"/>
  <c r="A3" i="4"/>
  <c r="A4" i="4"/>
  <c r="A5" i="4"/>
  <c r="B6" i="4"/>
  <c r="C6" i="4"/>
  <c r="D6" i="4"/>
  <c r="A7" i="4"/>
  <c r="A9" i="4"/>
  <c r="A10" i="4"/>
  <c r="B11" i="4"/>
  <c r="C11" i="4"/>
  <c r="D11" i="4"/>
  <c r="A12" i="4"/>
  <c r="A13" i="4"/>
  <c r="A14" i="4"/>
  <c r="A15" i="4"/>
  <c r="A16" i="4"/>
  <c r="A17" i="4"/>
  <c r="A18" i="4"/>
  <c r="A19" i="4"/>
  <c r="A20" i="4"/>
  <c r="A21" i="4"/>
  <c r="A22" i="4"/>
  <c r="A25" i="4"/>
  <c r="A26" i="4"/>
  <c r="B27" i="4"/>
  <c r="C27" i="4"/>
  <c r="D27" i="4"/>
  <c r="E27" i="4"/>
  <c r="A28" i="4"/>
  <c r="A29" i="4"/>
  <c r="A30" i="4"/>
  <c r="B30" i="4"/>
  <c r="C30" i="4"/>
  <c r="D30" i="4"/>
  <c r="A31" i="4"/>
  <c r="B31" i="4"/>
  <c r="C31" i="4"/>
  <c r="C112" i="4" s="1"/>
  <c r="D52" i="4" s="1"/>
  <c r="D31" i="4"/>
  <c r="A32" i="4"/>
  <c r="B32" i="4"/>
  <c r="A33" i="4"/>
  <c r="A34" i="4"/>
  <c r="A35" i="4"/>
  <c r="A36" i="4"/>
  <c r="A37" i="4"/>
  <c r="A38" i="4"/>
  <c r="A39" i="4"/>
  <c r="A40" i="4"/>
  <c r="A41" i="4"/>
  <c r="A42" i="4"/>
  <c r="A45" i="4"/>
  <c r="A46" i="4"/>
  <c r="B47" i="4"/>
  <c r="C47" i="4"/>
  <c r="D47" i="4"/>
  <c r="E47" i="4"/>
  <c r="A48" i="4"/>
  <c r="A49" i="4"/>
  <c r="A50" i="4"/>
  <c r="A51" i="4"/>
  <c r="A52" i="4"/>
  <c r="B52" i="4"/>
  <c r="A53" i="4"/>
  <c r="A54" i="4"/>
  <c r="A55" i="4"/>
  <c r="B55" i="4"/>
  <c r="A56" i="4"/>
  <c r="A57" i="4"/>
  <c r="B57" i="4"/>
  <c r="A58" i="4"/>
  <c r="A59" i="4"/>
  <c r="A60" i="4"/>
  <c r="B60" i="4"/>
  <c r="A61" i="4"/>
  <c r="B61" i="4"/>
  <c r="A62" i="4"/>
  <c r="A63" i="4"/>
  <c r="A64" i="4"/>
  <c r="A65" i="4"/>
  <c r="A66" i="4"/>
  <c r="B66" i="4"/>
  <c r="C66" i="4"/>
  <c r="D66" i="4"/>
  <c r="A67" i="4"/>
  <c r="B67" i="4"/>
  <c r="C67" i="4"/>
  <c r="D67" i="4"/>
  <c r="A68" i="4"/>
  <c r="D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B111" i="4"/>
  <c r="A112" i="4"/>
  <c r="D112" i="4"/>
  <c r="A113" i="4"/>
  <c r="A114" i="4"/>
  <c r="A115" i="4"/>
  <c r="A116" i="4"/>
  <c r="A117" i="4"/>
  <c r="A118" i="4"/>
  <c r="A119" i="4"/>
  <c r="A120" i="4"/>
  <c r="A121" i="4"/>
  <c r="A122" i="4"/>
  <c r="A123" i="4"/>
  <c r="A1" i="5"/>
  <c r="A2" i="5"/>
  <c r="A3" i="5"/>
  <c r="A4" i="5"/>
  <c r="A5" i="5"/>
  <c r="B6" i="5"/>
  <c r="C6" i="5"/>
  <c r="D6" i="5"/>
  <c r="A7" i="5"/>
  <c r="C7" i="5"/>
  <c r="C74" i="5" s="1"/>
  <c r="C142" i="14" s="1"/>
  <c r="A9" i="5"/>
  <c r="A10" i="5"/>
  <c r="A11" i="5"/>
  <c r="A12" i="5"/>
  <c r="A13" i="5"/>
  <c r="A14" i="5"/>
  <c r="A15" i="5"/>
  <c r="A16" i="5"/>
  <c r="A17" i="5"/>
  <c r="A18" i="5"/>
  <c r="A19" i="5"/>
  <c r="A20" i="5"/>
  <c r="A21" i="5"/>
  <c r="A22" i="5"/>
  <c r="A23" i="5"/>
  <c r="A24" i="5"/>
  <c r="A26" i="5"/>
  <c r="A27" i="5"/>
  <c r="A28" i="5"/>
  <c r="A29" i="5"/>
  <c r="A30" i="5"/>
  <c r="A31" i="5"/>
  <c r="A32" i="5"/>
  <c r="A33" i="5"/>
  <c r="A34" i="5"/>
  <c r="A35" i="5"/>
  <c r="A36" i="5"/>
  <c r="A37" i="5"/>
  <c r="A39" i="5"/>
  <c r="A40" i="5"/>
  <c r="B41" i="5"/>
  <c r="C41" i="5"/>
  <c r="D41" i="5"/>
  <c r="A42" i="5"/>
  <c r="A43" i="5"/>
  <c r="A44" i="5"/>
  <c r="A45" i="5"/>
  <c r="A46" i="5"/>
  <c r="A47" i="5"/>
  <c r="A48" i="5"/>
  <c r="B48" i="5"/>
  <c r="B32" i="5" s="1"/>
  <c r="C48" i="5"/>
  <c r="C32" i="5" s="1"/>
  <c r="BF11" i="17" s="1"/>
  <c r="D48" i="5"/>
  <c r="D32" i="5" s="1"/>
  <c r="BH11" i="17" s="1"/>
  <c r="A49" i="5"/>
  <c r="A50" i="5"/>
  <c r="A51" i="5"/>
  <c r="A52" i="5"/>
  <c r="A53" i="5"/>
  <c r="A55" i="5"/>
  <c r="A56" i="5"/>
  <c r="B57" i="5"/>
  <c r="C57" i="5"/>
  <c r="D57" i="5"/>
  <c r="A58" i="5"/>
  <c r="A59" i="5"/>
  <c r="A60" i="5"/>
  <c r="A61" i="5"/>
  <c r="A62" i="5"/>
  <c r="A63" i="5"/>
  <c r="A64" i="5"/>
  <c r="A65" i="5"/>
  <c r="B65" i="5"/>
  <c r="B133" i="14" s="1"/>
  <c r="C65" i="5"/>
  <c r="D65" i="5"/>
  <c r="D133" i="14" s="1"/>
  <c r="A66" i="5"/>
  <c r="A67" i="5"/>
  <c r="A68" i="5"/>
  <c r="A69" i="5"/>
  <c r="A70" i="5"/>
  <c r="A71" i="5"/>
  <c r="B71" i="5"/>
  <c r="B139" i="14" s="1"/>
  <c r="C71" i="5"/>
  <c r="D71" i="5"/>
  <c r="D139" i="14" s="1"/>
  <c r="A72" i="5"/>
  <c r="A73" i="5"/>
  <c r="A74" i="5"/>
  <c r="A75" i="5"/>
  <c r="A76" i="5"/>
  <c r="A77" i="5"/>
  <c r="A78" i="5"/>
  <c r="B78" i="5"/>
  <c r="B146" i="14" s="1"/>
  <c r="C78" i="5"/>
  <c r="C146" i="14" s="1"/>
  <c r="D78" i="5"/>
  <c r="A79" i="5"/>
  <c r="A80" i="5"/>
  <c r="B80" i="5"/>
  <c r="C80" i="5"/>
  <c r="D80" i="5"/>
  <c r="A81" i="5"/>
  <c r="B81" i="5"/>
  <c r="C81" i="5"/>
  <c r="D81" i="5"/>
  <c r="A82" i="5"/>
  <c r="B82" i="5"/>
  <c r="C82" i="5"/>
  <c r="D82" i="5"/>
  <c r="A83" i="5"/>
  <c r="B83" i="5"/>
  <c r="C83" i="5"/>
  <c r="D83" i="5"/>
  <c r="A84" i="5"/>
  <c r="B84" i="5"/>
  <c r="C84" i="5"/>
  <c r="D84" i="5"/>
  <c r="A85" i="5"/>
  <c r="A86" i="5"/>
  <c r="A87" i="5"/>
  <c r="A88" i="5"/>
  <c r="B88" i="5"/>
  <c r="C88" i="5"/>
  <c r="D88" i="5"/>
  <c r="A89" i="5"/>
  <c r="B89" i="5"/>
  <c r="C89" i="5"/>
  <c r="D89" i="5"/>
  <c r="A90" i="5"/>
  <c r="A91" i="5"/>
  <c r="A92" i="5"/>
  <c r="A93" i="5"/>
  <c r="A94" i="5"/>
  <c r="A95" i="5"/>
  <c r="B95" i="5"/>
  <c r="C95" i="5"/>
  <c r="D95" i="5"/>
  <c r="A96" i="5"/>
  <c r="B96" i="5"/>
  <c r="C96" i="5"/>
  <c r="D96" i="5"/>
  <c r="A97" i="5"/>
  <c r="A98" i="5"/>
  <c r="A99" i="5"/>
  <c r="C99" i="5"/>
  <c r="C167" i="14" s="1"/>
  <c r="A100" i="5"/>
  <c r="A101" i="5"/>
  <c r="B101" i="5"/>
  <c r="C101" i="5"/>
  <c r="D101" i="5"/>
  <c r="A102" i="5"/>
  <c r="B102" i="5"/>
  <c r="C102" i="5"/>
  <c r="D102" i="5"/>
  <c r="A103" i="5"/>
  <c r="A104" i="5"/>
  <c r="A105" i="5"/>
  <c r="A106" i="5"/>
  <c r="A107" i="5"/>
  <c r="A108" i="5"/>
  <c r="A109" i="5"/>
  <c r="A110" i="5"/>
  <c r="A111" i="5"/>
  <c r="A112" i="5"/>
  <c r="A113" i="5"/>
  <c r="A114" i="5"/>
  <c r="A1" i="6"/>
  <c r="A2" i="6"/>
  <c r="A3" i="6"/>
  <c r="A4" i="6"/>
  <c r="A5" i="6"/>
  <c r="B6" i="6"/>
  <c r="C6" i="6"/>
  <c r="D6" i="6"/>
  <c r="A7" i="6"/>
  <c r="C7" i="6"/>
  <c r="A9" i="6"/>
  <c r="A10" i="6"/>
  <c r="B11" i="6"/>
  <c r="C11" i="6"/>
  <c r="D11" i="6"/>
  <c r="A12" i="6"/>
  <c r="A13" i="6"/>
  <c r="A14" i="6"/>
  <c r="A15" i="6"/>
  <c r="A16" i="6"/>
  <c r="A17" i="6"/>
  <c r="A18" i="6"/>
  <c r="A19" i="6"/>
  <c r="A20" i="6"/>
  <c r="A21" i="6"/>
  <c r="A22" i="6"/>
  <c r="A25" i="6"/>
  <c r="A26" i="6"/>
  <c r="A27" i="6"/>
  <c r="B28" i="6"/>
  <c r="C28" i="6"/>
  <c r="D28" i="6"/>
  <c r="E28" i="6"/>
  <c r="A29" i="6"/>
  <c r="A30" i="6"/>
  <c r="A31" i="6"/>
  <c r="A32" i="6"/>
  <c r="A34" i="6"/>
  <c r="A35" i="6"/>
  <c r="A36" i="6"/>
  <c r="A37" i="6"/>
  <c r="A39" i="6"/>
  <c r="A40" i="6"/>
  <c r="A42" i="6"/>
  <c r="A43" i="6"/>
  <c r="A44" i="6"/>
  <c r="A45" i="6"/>
  <c r="A46" i="6"/>
  <c r="A1" i="7"/>
  <c r="A2" i="7"/>
  <c r="A3" i="7"/>
  <c r="A4" i="7"/>
  <c r="A5" i="7"/>
  <c r="B6" i="7"/>
  <c r="C6" i="7"/>
  <c r="D6" i="7"/>
  <c r="A7" i="7"/>
  <c r="A9" i="7"/>
  <c r="A10" i="7"/>
  <c r="B11" i="7"/>
  <c r="C11" i="7"/>
  <c r="D11" i="7"/>
  <c r="E11" i="7"/>
  <c r="A12" i="7"/>
  <c r="A13" i="7"/>
  <c r="B13" i="7"/>
  <c r="B43" i="14" s="1"/>
  <c r="A14" i="7"/>
  <c r="A15" i="7"/>
  <c r="A16" i="7"/>
  <c r="A17" i="7"/>
  <c r="A19" i="7"/>
  <c r="A22" i="7"/>
  <c r="A23" i="7"/>
  <c r="B24" i="7"/>
  <c r="C24" i="7"/>
  <c r="D24" i="7"/>
  <c r="E24" i="7"/>
  <c r="A25" i="7"/>
  <c r="A26" i="7"/>
  <c r="A27" i="7"/>
  <c r="B27" i="7"/>
  <c r="B45" i="14" s="1"/>
  <c r="A28" i="7"/>
  <c r="B28" i="7"/>
  <c r="B29" i="7" s="1"/>
  <c r="A29" i="7"/>
  <c r="A30" i="7"/>
  <c r="A31" i="7"/>
  <c r="A32" i="7"/>
  <c r="A33" i="7"/>
  <c r="A34" i="7"/>
  <c r="A35" i="7"/>
  <c r="A36" i="7"/>
  <c r="A37" i="7"/>
  <c r="A38" i="7"/>
  <c r="A39" i="7"/>
  <c r="A40" i="7"/>
  <c r="A41" i="7"/>
  <c r="A42" i="7"/>
  <c r="A43" i="7"/>
  <c r="A44" i="7"/>
  <c r="A45" i="7"/>
  <c r="A47" i="7"/>
  <c r="A48" i="7"/>
  <c r="A49" i="7"/>
  <c r="A50" i="7"/>
  <c r="A1" i="8"/>
  <c r="A2" i="8"/>
  <c r="A3" i="8"/>
  <c r="A4" i="8"/>
  <c r="A5" i="8"/>
  <c r="B6" i="8"/>
  <c r="C6" i="8"/>
  <c r="D6" i="8"/>
  <c r="A7" i="8"/>
  <c r="A9" i="8"/>
  <c r="A10" i="8"/>
  <c r="A12" i="8"/>
  <c r="A13" i="8"/>
  <c r="A15" i="8"/>
  <c r="A16" i="8"/>
  <c r="A18" i="8"/>
  <c r="A19" i="8"/>
  <c r="A21" i="8"/>
  <c r="A22" i="8"/>
  <c r="A1" i="9"/>
  <c r="A2" i="9"/>
  <c r="A3" i="9"/>
  <c r="A4" i="9"/>
  <c r="A5" i="9"/>
  <c r="B6" i="9"/>
  <c r="C6" i="9"/>
  <c r="D6" i="9"/>
  <c r="E6" i="9"/>
  <c r="A7" i="9"/>
  <c r="A8" i="9"/>
  <c r="A9" i="9"/>
  <c r="A10" i="9"/>
  <c r="B10" i="9"/>
  <c r="A11" i="9"/>
  <c r="A12" i="9"/>
  <c r="A13" i="9"/>
  <c r="B13" i="9"/>
  <c r="A14" i="9"/>
  <c r="A15" i="9"/>
  <c r="A16" i="9"/>
  <c r="A17" i="9"/>
  <c r="B17" i="9"/>
  <c r="A18" i="9"/>
  <c r="B18" i="9"/>
  <c r="A19" i="9"/>
  <c r="B19" i="9"/>
  <c r="A20" i="9"/>
  <c r="B20" i="9"/>
  <c r="A22" i="9"/>
  <c r="A23" i="9"/>
  <c r="B24" i="9"/>
  <c r="C24" i="9"/>
  <c r="D24" i="9"/>
  <c r="E24" i="9"/>
  <c r="A25" i="9"/>
  <c r="A26" i="9"/>
  <c r="A27" i="9"/>
  <c r="E27" i="9"/>
  <c r="A28" i="9"/>
  <c r="E28" i="9"/>
  <c r="A29" i="9"/>
  <c r="B29" i="9"/>
  <c r="C29" i="9"/>
  <c r="D29" i="9"/>
  <c r="E29" i="9"/>
  <c r="A30" i="9"/>
  <c r="A31" i="9"/>
  <c r="E31" i="9"/>
  <c r="A32" i="9"/>
  <c r="B32" i="9"/>
  <c r="C32" i="9"/>
  <c r="D32" i="9"/>
  <c r="E32" i="9"/>
  <c r="A33" i="9"/>
  <c r="E33" i="9"/>
  <c r="A34" i="9"/>
  <c r="B34" i="9"/>
  <c r="C34" i="9"/>
  <c r="D34" i="9"/>
  <c r="E34" i="9"/>
  <c r="A35" i="9"/>
  <c r="A36" i="9"/>
  <c r="B36" i="9"/>
  <c r="C36" i="9"/>
  <c r="D36" i="9"/>
  <c r="E36" i="9"/>
  <c r="A37" i="9"/>
  <c r="B37" i="9"/>
  <c r="C37" i="9"/>
  <c r="D37" i="9"/>
  <c r="E37" i="9"/>
  <c r="A38" i="9"/>
  <c r="B38" i="9"/>
  <c r="C38" i="9"/>
  <c r="D38" i="9"/>
  <c r="E38" i="9"/>
  <c r="A39" i="9"/>
  <c r="B39" i="9"/>
  <c r="C39" i="9"/>
  <c r="D39" i="9"/>
  <c r="E39" i="9"/>
  <c r="A41" i="9"/>
  <c r="A42" i="9"/>
  <c r="A43" i="9"/>
  <c r="E43" i="9"/>
  <c r="A44" i="9"/>
  <c r="E44" i="9"/>
  <c r="A45" i="9"/>
  <c r="E45" i="9"/>
  <c r="A46" i="9"/>
  <c r="A47" i="9"/>
  <c r="E47" i="9"/>
  <c r="A48" i="9"/>
  <c r="E48" i="9"/>
  <c r="A49" i="9"/>
  <c r="E49" i="9"/>
  <c r="A50" i="9"/>
  <c r="E50" i="9"/>
  <c r="A51" i="9"/>
  <c r="A52" i="9"/>
  <c r="E52" i="9"/>
  <c r="A53" i="9"/>
  <c r="E53" i="9"/>
  <c r="A54" i="9"/>
  <c r="E54" i="9"/>
  <c r="A55" i="9"/>
  <c r="E55" i="9"/>
  <c r="A57" i="9"/>
  <c r="A58" i="9"/>
  <c r="A59" i="9"/>
  <c r="E59" i="9"/>
  <c r="A60" i="9"/>
  <c r="E60" i="9"/>
  <c r="A61" i="9"/>
  <c r="E61" i="9"/>
  <c r="A62" i="9"/>
  <c r="A63" i="9"/>
  <c r="E63" i="9"/>
  <c r="A64" i="9"/>
  <c r="E64" i="9"/>
  <c r="A65" i="9"/>
  <c r="E65" i="9"/>
  <c r="A66" i="9"/>
  <c r="E66" i="9"/>
  <c r="A67" i="9"/>
  <c r="A68" i="9"/>
  <c r="E68" i="9"/>
  <c r="A69" i="9"/>
  <c r="E69" i="9"/>
  <c r="A70" i="9"/>
  <c r="E70" i="9"/>
  <c r="A71" i="9"/>
  <c r="E71" i="9"/>
  <c r="A73" i="9"/>
  <c r="A74" i="9"/>
  <c r="A75" i="9"/>
  <c r="A76" i="9"/>
  <c r="A77" i="9"/>
  <c r="A79" i="9"/>
  <c r="A80" i="9"/>
  <c r="A81" i="9"/>
  <c r="A82" i="9"/>
  <c r="A1" i="10"/>
  <c r="A2" i="10"/>
  <c r="A3" i="10"/>
  <c r="A4" i="10"/>
  <c r="B6" i="10"/>
  <c r="B8" i="10"/>
  <c r="B10" i="10"/>
  <c r="B21" i="10"/>
  <c r="B23" i="10"/>
  <c r="B25" i="10"/>
  <c r="B27" i="10"/>
  <c r="B29" i="10"/>
  <c r="B31" i="10"/>
  <c r="B33" i="10"/>
  <c r="B35" i="10"/>
  <c r="B38" i="10"/>
  <c r="B41" i="10"/>
  <c r="B43" i="10"/>
  <c r="B45" i="10"/>
  <c r="B47" i="10"/>
  <c r="B49" i="10"/>
  <c r="B51" i="10"/>
  <c r="B57" i="10"/>
  <c r="B59" i="10"/>
  <c r="B61" i="10"/>
  <c r="B63" i="10"/>
  <c r="B65" i="10"/>
  <c r="B67" i="10"/>
  <c r="B73" i="10"/>
  <c r="B75" i="10"/>
  <c r="B77" i="10"/>
  <c r="B79" i="10"/>
  <c r="B81" i="10"/>
  <c r="B83" i="10"/>
  <c r="B85" i="10"/>
  <c r="B87" i="10"/>
  <c r="B89" i="10"/>
  <c r="B91" i="10"/>
  <c r="B98" i="10"/>
  <c r="B107" i="10"/>
  <c r="B109" i="10"/>
  <c r="B111" i="10"/>
  <c r="B113" i="10"/>
  <c r="B115" i="10"/>
  <c r="B118" i="10"/>
  <c r="B120" i="10"/>
  <c r="B122" i="10"/>
  <c r="B124" i="10"/>
  <c r="B126" i="10"/>
  <c r="B128" i="10"/>
  <c r="B130" i="10"/>
  <c r="B132" i="10"/>
  <c r="B138" i="10"/>
  <c r="B140" i="10"/>
  <c r="B143" i="10"/>
  <c r="B147" i="10"/>
  <c r="B149" i="10"/>
  <c r="B151" i="10"/>
  <c r="B153" i="10"/>
  <c r="B160" i="10"/>
  <c r="B162" i="10"/>
  <c r="B164" i="10"/>
  <c r="B166" i="10"/>
  <c r="B169" i="10"/>
  <c r="B172" i="10"/>
  <c r="B174" i="10"/>
  <c r="B177" i="10"/>
  <c r="B183" i="10"/>
  <c r="B187" i="10"/>
  <c r="B189" i="10"/>
  <c r="B195" i="10"/>
  <c r="B197" i="10"/>
  <c r="B199" i="10"/>
  <c r="B201" i="10"/>
  <c r="B203" i="10"/>
  <c r="B205" i="10"/>
  <c r="B209" i="10"/>
  <c r="B211" i="10"/>
  <c r="B221" i="10"/>
  <c r="B223" i="10"/>
  <c r="A1" i="11"/>
  <c r="A2" i="11"/>
  <c r="A3" i="11"/>
  <c r="A4" i="11"/>
  <c r="A5" i="11"/>
  <c r="A6" i="11"/>
  <c r="A7" i="11"/>
  <c r="C7" i="11"/>
  <c r="E7" i="11"/>
  <c r="G7" i="11"/>
  <c r="A8" i="11"/>
  <c r="C8" i="11"/>
  <c r="E8" i="11"/>
  <c r="G8" i="11"/>
  <c r="A9" i="11"/>
  <c r="B9" i="11"/>
  <c r="C9" i="11"/>
  <c r="E9" i="11"/>
  <c r="F9" i="11"/>
  <c r="G9" i="11"/>
  <c r="A10" i="11"/>
  <c r="B10" i="11"/>
  <c r="C10" i="11"/>
  <c r="D10" i="11"/>
  <c r="E10" i="11"/>
  <c r="G10" i="11"/>
  <c r="A11" i="11"/>
  <c r="C11" i="11"/>
  <c r="E11" i="11"/>
  <c r="G11" i="11"/>
  <c r="A12" i="11"/>
  <c r="B12" i="11"/>
  <c r="AT12" i="17" s="1"/>
  <c r="C12" i="11"/>
  <c r="D12" i="11"/>
  <c r="E12" i="11"/>
  <c r="G12" i="11"/>
  <c r="A13" i="11"/>
  <c r="B13" i="11"/>
  <c r="C13" i="11"/>
  <c r="D13" i="11"/>
  <c r="BD12" i="17" s="1"/>
  <c r="E13" i="11"/>
  <c r="F13" i="11"/>
  <c r="G13" i="11"/>
  <c r="H13" i="11"/>
  <c r="A14" i="11"/>
  <c r="B14" i="11"/>
  <c r="C14" i="11"/>
  <c r="D14" i="11"/>
  <c r="E14" i="11"/>
  <c r="F14" i="11"/>
  <c r="BJ12" i="17" s="1"/>
  <c r="G14" i="11"/>
  <c r="H14" i="11"/>
  <c r="A15" i="11"/>
  <c r="C15" i="11"/>
  <c r="E15" i="11"/>
  <c r="G15" i="11"/>
  <c r="A16" i="11"/>
  <c r="B16" i="11"/>
  <c r="C16" i="11"/>
  <c r="E16" i="11"/>
  <c r="F16" i="11"/>
  <c r="G16" i="11"/>
  <c r="A17" i="11"/>
  <c r="B17" i="11"/>
  <c r="BB12" i="17" s="1"/>
  <c r="C17" i="11"/>
  <c r="D17" i="11"/>
  <c r="E17" i="11"/>
  <c r="G17" i="11"/>
  <c r="A19" i="11"/>
  <c r="C19" i="11"/>
  <c r="E19" i="11"/>
  <c r="G19" i="11"/>
  <c r="A20" i="11"/>
  <c r="C20" i="11"/>
  <c r="E20" i="11"/>
  <c r="G20" i="11"/>
  <c r="A21" i="11"/>
  <c r="B21" i="11"/>
  <c r="C21" i="11"/>
  <c r="D21" i="11"/>
  <c r="L13" i="17" s="1"/>
  <c r="E21" i="11"/>
  <c r="F21" i="11"/>
  <c r="G21" i="11"/>
  <c r="A22" i="11"/>
  <c r="B22" i="11"/>
  <c r="C22" i="11"/>
  <c r="D22" i="11"/>
  <c r="E22" i="11"/>
  <c r="F22" i="11"/>
  <c r="G22" i="11"/>
  <c r="A23" i="11"/>
  <c r="C23" i="11"/>
  <c r="E23" i="11"/>
  <c r="G23" i="11"/>
  <c r="A24" i="11"/>
  <c r="C24" i="11"/>
  <c r="D24" i="11"/>
  <c r="E24" i="11"/>
  <c r="F24" i="11"/>
  <c r="G24" i="11"/>
  <c r="A25" i="11"/>
  <c r="B25" i="11"/>
  <c r="C25" i="11"/>
  <c r="D25" i="11"/>
  <c r="R13" i="17" s="1"/>
  <c r="E25" i="11"/>
  <c r="F25" i="11"/>
  <c r="V13" i="17" s="1"/>
  <c r="G25" i="11"/>
  <c r="H25" i="11"/>
  <c r="A26" i="11"/>
  <c r="B26" i="11"/>
  <c r="F13" i="17" s="1"/>
  <c r="C26" i="11"/>
  <c r="D26" i="11"/>
  <c r="T13" i="17" s="1"/>
  <c r="E26" i="11"/>
  <c r="F26" i="11"/>
  <c r="G26" i="11"/>
  <c r="H26" i="11"/>
  <c r="A27" i="11"/>
  <c r="C27" i="11"/>
  <c r="E27" i="11"/>
  <c r="G27" i="11"/>
  <c r="A28" i="11"/>
  <c r="B28" i="11"/>
  <c r="C28" i="11"/>
  <c r="E28" i="11"/>
  <c r="F28" i="11"/>
  <c r="G28" i="11"/>
  <c r="H28" i="11"/>
  <c r="A29" i="11"/>
  <c r="B29" i="11"/>
  <c r="J13" i="17" s="1"/>
  <c r="C29" i="11"/>
  <c r="E29" i="11"/>
  <c r="F29" i="11"/>
  <c r="AB13" i="17" s="1"/>
  <c r="G29" i="11"/>
  <c r="H29" i="11"/>
  <c r="B32" i="11"/>
  <c r="C32" i="11"/>
  <c r="D32" i="11"/>
  <c r="A33" i="11"/>
  <c r="A34" i="11"/>
  <c r="A35" i="11"/>
  <c r="B35" i="11"/>
  <c r="C35" i="11" s="1"/>
  <c r="D35" i="11" s="1"/>
  <c r="A36" i="11"/>
  <c r="B36" i="11"/>
  <c r="C36" i="11" s="1"/>
  <c r="D36" i="11" s="1"/>
  <c r="A37" i="11"/>
  <c r="A38" i="11"/>
  <c r="C38" i="11"/>
  <c r="A39" i="11"/>
  <c r="B39" i="11"/>
  <c r="AX13" i="17" s="1"/>
  <c r="A40" i="11"/>
  <c r="B40" i="11"/>
  <c r="C40" i="11" s="1"/>
  <c r="A41" i="11"/>
  <c r="A42" i="11"/>
  <c r="B42" i="11"/>
  <c r="C42" i="11" s="1"/>
  <c r="D42" i="11" s="1"/>
  <c r="A43" i="11"/>
  <c r="B43" i="11"/>
  <c r="C43" i="11" s="1"/>
  <c r="D43" i="11" s="1"/>
  <c r="H14" i="17" s="1"/>
  <c r="A45" i="11"/>
  <c r="A46" i="11"/>
  <c r="A47" i="11"/>
  <c r="B47" i="11"/>
  <c r="B49" i="11" s="1"/>
  <c r="C47" i="11"/>
  <c r="A48" i="11"/>
  <c r="B48" i="11"/>
  <c r="C48" i="11"/>
  <c r="C49" i="11" s="1"/>
  <c r="A49" i="11"/>
  <c r="A50" i="11"/>
  <c r="A51" i="11"/>
  <c r="B51" i="11"/>
  <c r="C51" i="11"/>
  <c r="D51" i="11"/>
  <c r="A52" i="11"/>
  <c r="B52" i="11"/>
  <c r="C52" i="11"/>
  <c r="D52" i="11"/>
  <c r="A53" i="11"/>
  <c r="B53" i="11"/>
  <c r="D53" i="11"/>
  <c r="A54" i="11"/>
  <c r="B54" i="11"/>
  <c r="C54" i="11"/>
  <c r="L14" i="17" s="1"/>
  <c r="D54" i="11"/>
  <c r="N14" i="17" s="1"/>
  <c r="A55" i="11"/>
  <c r="A56" i="11"/>
  <c r="B56" i="11"/>
  <c r="C56" i="11"/>
  <c r="D56" i="11"/>
  <c r="A57" i="11"/>
  <c r="B57" i="11"/>
  <c r="B58" i="11" s="1"/>
  <c r="C57" i="11"/>
  <c r="D57" i="11"/>
  <c r="D240" i="14" s="1"/>
  <c r="A58" i="11"/>
  <c r="A59" i="11"/>
  <c r="A61" i="11"/>
  <c r="A62" i="11"/>
  <c r="A63" i="11"/>
  <c r="B63" i="11"/>
  <c r="C63" i="11"/>
  <c r="D63" i="11"/>
  <c r="A64" i="11"/>
  <c r="B64" i="11"/>
  <c r="C64" i="11"/>
  <c r="C65" i="11" s="1"/>
  <c r="D64" i="11"/>
  <c r="A65" i="11"/>
  <c r="A66" i="11"/>
  <c r="A67" i="11"/>
  <c r="B67" i="11"/>
  <c r="B68" i="11" s="1"/>
  <c r="C67" i="11"/>
  <c r="C68" i="11" s="1"/>
  <c r="D67" i="11"/>
  <c r="D68" i="11" s="1"/>
  <c r="A68" i="11"/>
  <c r="A69" i="11"/>
  <c r="B69" i="11"/>
  <c r="C69" i="11"/>
  <c r="E69" i="11" s="1"/>
  <c r="D69" i="11"/>
  <c r="A70" i="11"/>
  <c r="B70" i="11"/>
  <c r="C70" i="11"/>
  <c r="D70" i="11"/>
  <c r="A71" i="11"/>
  <c r="A72" i="11"/>
  <c r="B72" i="11"/>
  <c r="C72" i="11"/>
  <c r="D72" i="11"/>
  <c r="A73" i="11"/>
  <c r="B73" i="11"/>
  <c r="C73" i="11"/>
  <c r="C74" i="11" s="1"/>
  <c r="D73" i="11"/>
  <c r="A74" i="11"/>
  <c r="B74" i="11"/>
  <c r="A75" i="11"/>
  <c r="A78" i="11"/>
  <c r="A79" i="11"/>
  <c r="A80" i="11"/>
  <c r="A81" i="11"/>
  <c r="B81" i="11"/>
  <c r="A82" i="11"/>
  <c r="A83" i="11"/>
  <c r="A84" i="11"/>
  <c r="A85" i="11"/>
  <c r="B85" i="11"/>
  <c r="A86" i="11"/>
  <c r="B86" i="11"/>
  <c r="A87" i="11"/>
  <c r="B87" i="11"/>
  <c r="BF14" i="17" s="1"/>
  <c r="A88" i="11"/>
  <c r="A89" i="11"/>
  <c r="A90" i="11"/>
  <c r="B90" i="11"/>
  <c r="A91" i="11"/>
  <c r="A92" i="11"/>
  <c r="A1" i="12"/>
  <c r="A2" i="12"/>
  <c r="A3" i="12"/>
  <c r="A4" i="12"/>
  <c r="A5" i="12"/>
  <c r="A6" i="12"/>
  <c r="D6" i="12"/>
  <c r="A7" i="12"/>
  <c r="D7" i="12"/>
  <c r="E7" i="12"/>
  <c r="A8" i="12"/>
  <c r="B8" i="12"/>
  <c r="A5" i="16" s="1"/>
  <c r="D8" i="12"/>
  <c r="E8" i="12"/>
  <c r="A9" i="12"/>
  <c r="B9" i="12"/>
  <c r="B5" i="16" s="1"/>
  <c r="D9" i="12"/>
  <c r="E9" i="12"/>
  <c r="A10" i="12"/>
  <c r="A11" i="12"/>
  <c r="B11" i="12"/>
  <c r="C5" i="16" s="1"/>
  <c r="A12" i="12"/>
  <c r="B12" i="12"/>
  <c r="A13" i="12"/>
  <c r="B13" i="12"/>
  <c r="E5" i="16" s="1"/>
  <c r="A14" i="12"/>
  <c r="A15" i="12"/>
  <c r="B15" i="12"/>
  <c r="F5" i="16" s="1"/>
  <c r="A16" i="12"/>
  <c r="B16" i="12"/>
  <c r="B18" i="12"/>
  <c r="C18" i="12"/>
  <c r="A19" i="12"/>
  <c r="A20" i="12"/>
  <c r="A21" i="12"/>
  <c r="A22" i="12"/>
  <c r="A24" i="12"/>
  <c r="D24" i="12"/>
  <c r="A25" i="12"/>
  <c r="D25" i="12"/>
  <c r="A26" i="12"/>
  <c r="D26" i="12"/>
  <c r="A27" i="12"/>
  <c r="D27" i="12"/>
  <c r="A29" i="12"/>
  <c r="D29" i="12"/>
  <c r="A30" i="12"/>
  <c r="D30" i="12"/>
  <c r="A31" i="12"/>
  <c r="D31" i="12"/>
  <c r="A32" i="12"/>
  <c r="D32" i="12"/>
  <c r="A34" i="12"/>
  <c r="D34" i="12"/>
  <c r="A35" i="12"/>
  <c r="D35" i="12"/>
  <c r="A36" i="12"/>
  <c r="D36" i="12"/>
  <c r="A37" i="12"/>
  <c r="D37" i="12"/>
  <c r="A39" i="12"/>
  <c r="D39" i="12"/>
  <c r="A40" i="12"/>
  <c r="D40" i="12"/>
  <c r="A41" i="12"/>
  <c r="D41" i="12"/>
  <c r="A42" i="12"/>
  <c r="D42" i="12"/>
  <c r="A44" i="12"/>
  <c r="D44" i="12"/>
  <c r="A45" i="12"/>
  <c r="D45" i="12"/>
  <c r="A46" i="12"/>
  <c r="D46" i="12"/>
  <c r="A47" i="12"/>
  <c r="D47" i="12"/>
  <c r="A49" i="12"/>
  <c r="A50" i="12"/>
  <c r="B50" i="12"/>
  <c r="A51" i="12"/>
  <c r="B51" i="12"/>
  <c r="A52" i="12"/>
  <c r="B52" i="12"/>
  <c r="A53" i="12"/>
  <c r="A55" i="12"/>
  <c r="A56" i="12"/>
  <c r="A57" i="12"/>
  <c r="A58" i="12"/>
  <c r="B60" i="12"/>
  <c r="C60" i="12"/>
  <c r="D60" i="12"/>
  <c r="E60" i="12"/>
  <c r="A61" i="12"/>
  <c r="A62" i="12"/>
  <c r="A63" i="12"/>
  <c r="E63" i="12"/>
  <c r="A64" i="12"/>
  <c r="E64" i="12"/>
  <c r="A65" i="12"/>
  <c r="E65" i="12"/>
  <c r="A66" i="12"/>
  <c r="A67" i="12"/>
  <c r="E67" i="12"/>
  <c r="A68" i="12"/>
  <c r="E68" i="12"/>
  <c r="A69" i="12"/>
  <c r="E69" i="12"/>
  <c r="A70" i="12"/>
  <c r="E70" i="12"/>
  <c r="A71" i="12"/>
  <c r="A72" i="12"/>
  <c r="E72" i="12"/>
  <c r="A73" i="12"/>
  <c r="E73" i="12"/>
  <c r="A74" i="12"/>
  <c r="E74" i="12"/>
  <c r="A75" i="12"/>
  <c r="E75" i="12"/>
  <c r="A77" i="12"/>
  <c r="A78" i="12"/>
  <c r="A79" i="12"/>
  <c r="A80" i="12"/>
  <c r="A81" i="12"/>
  <c r="A82" i="12"/>
  <c r="A83" i="12"/>
  <c r="A84" i="12"/>
  <c r="A85" i="12"/>
  <c r="A86" i="12"/>
  <c r="A87" i="12"/>
  <c r="A88" i="12"/>
  <c r="A89" i="12"/>
  <c r="A90" i="12"/>
  <c r="A91" i="12"/>
  <c r="A93" i="12"/>
  <c r="A94" i="12"/>
  <c r="A95" i="12"/>
  <c r="A96" i="12"/>
  <c r="A97" i="12"/>
  <c r="A98" i="12"/>
  <c r="A99" i="12"/>
  <c r="A100" i="12"/>
  <c r="A101" i="12"/>
  <c r="A102" i="12"/>
  <c r="A103" i="12"/>
  <c r="A104" i="12"/>
  <c r="A105" i="12"/>
  <c r="A106" i="12"/>
  <c r="A107" i="12"/>
  <c r="A1" i="13"/>
  <c r="A2" i="13"/>
  <c r="A3" i="13"/>
  <c r="A1" i="14"/>
  <c r="A2" i="14"/>
  <c r="A3" i="14"/>
  <c r="A4" i="14"/>
  <c r="A6" i="14"/>
  <c r="A7" i="14"/>
  <c r="B7" i="14"/>
  <c r="A8" i="14"/>
  <c r="B8" i="14"/>
  <c r="A9" i="14"/>
  <c r="A10" i="14"/>
  <c r="B10" i="14"/>
  <c r="A11" i="14"/>
  <c r="B11" i="14"/>
  <c r="A12" i="14"/>
  <c r="B12" i="14"/>
  <c r="A13" i="14"/>
  <c r="A14" i="14"/>
  <c r="B14" i="14"/>
  <c r="A15" i="14"/>
  <c r="B15" i="14"/>
  <c r="A16" i="14"/>
  <c r="B17" i="14"/>
  <c r="C17" i="14"/>
  <c r="D17" i="14"/>
  <c r="E17" i="14"/>
  <c r="A18" i="14"/>
  <c r="A19" i="14"/>
  <c r="B19" i="14"/>
  <c r="C19" i="14"/>
  <c r="D19" i="14"/>
  <c r="D14" i="6" s="1"/>
  <c r="T12" i="17" s="1"/>
  <c r="E19" i="14"/>
  <c r="A20" i="14"/>
  <c r="B20" i="14"/>
  <c r="B15" i="6" s="1"/>
  <c r="C20" i="14"/>
  <c r="C15" i="6" s="1"/>
  <c r="X12" i="17" s="1"/>
  <c r="D20" i="14"/>
  <c r="D15" i="6" s="1"/>
  <c r="Z12" i="17" s="1"/>
  <c r="E20" i="14"/>
  <c r="A21" i="14"/>
  <c r="E21" i="14"/>
  <c r="A22" i="14"/>
  <c r="A23" i="14"/>
  <c r="E23" i="14"/>
  <c r="A24" i="14"/>
  <c r="E24" i="14"/>
  <c r="A25" i="14"/>
  <c r="E25" i="14"/>
  <c r="A26" i="14"/>
  <c r="E26" i="14"/>
  <c r="A27" i="14"/>
  <c r="A28" i="14"/>
  <c r="E28" i="14"/>
  <c r="A29" i="14"/>
  <c r="E29" i="14"/>
  <c r="A30" i="14"/>
  <c r="E30" i="14"/>
  <c r="A31" i="14"/>
  <c r="E31" i="14"/>
  <c r="A32" i="14"/>
  <c r="B33" i="14"/>
  <c r="C33" i="14"/>
  <c r="D33" i="14"/>
  <c r="E33" i="14"/>
  <c r="A34" i="14"/>
  <c r="A35" i="14"/>
  <c r="A36" i="14"/>
  <c r="B36" i="14"/>
  <c r="A37" i="14"/>
  <c r="B37" i="14"/>
  <c r="A38" i="14"/>
  <c r="A39" i="14"/>
  <c r="A40" i="14"/>
  <c r="B40" i="14"/>
  <c r="B41" i="14" s="1"/>
  <c r="A41" i="14"/>
  <c r="A42" i="14"/>
  <c r="B42" i="14"/>
  <c r="A43" i="14"/>
  <c r="A44" i="14"/>
  <c r="A45" i="14"/>
  <c r="A46" i="14"/>
  <c r="B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B110" i="14"/>
  <c r="C110" i="14"/>
  <c r="D110" i="14"/>
  <c r="E110" i="14"/>
  <c r="A111" i="14"/>
  <c r="A112" i="14"/>
  <c r="B112" i="14"/>
  <c r="C112" i="14"/>
  <c r="D112" i="14"/>
  <c r="A113" i="14"/>
  <c r="B113" i="14"/>
  <c r="C113" i="14"/>
  <c r="D113" i="14"/>
  <c r="D52" i="14" s="1"/>
  <c r="A114" i="14"/>
  <c r="B114" i="14"/>
  <c r="A14" i="13" s="1"/>
  <c r="A115" i="14"/>
  <c r="A116" i="14"/>
  <c r="B116" i="14"/>
  <c r="C116" i="14"/>
  <c r="A117" i="14"/>
  <c r="A118" i="14"/>
  <c r="B118" i="14"/>
  <c r="C14" i="13" s="1"/>
  <c r="C118" i="14"/>
  <c r="D118" i="14"/>
  <c r="D57" i="14" s="1"/>
  <c r="A119" i="14"/>
  <c r="B119" i="14"/>
  <c r="C119" i="14"/>
  <c r="C73" i="4" s="1"/>
  <c r="D119" i="14"/>
  <c r="A120" i="14"/>
  <c r="A121" i="14"/>
  <c r="B121" i="14"/>
  <c r="C121" i="14"/>
  <c r="D121" i="14"/>
  <c r="A122" i="14"/>
  <c r="B122" i="14"/>
  <c r="C122" i="14"/>
  <c r="D122" i="14"/>
  <c r="D76" i="4" s="1"/>
  <c r="A123" i="14"/>
  <c r="A124" i="14"/>
  <c r="A125" i="14"/>
  <c r="B126" i="14"/>
  <c r="C126" i="14"/>
  <c r="D126" i="14"/>
  <c r="A127" i="14"/>
  <c r="A128" i="14"/>
  <c r="A129" i="14"/>
  <c r="A130" i="14"/>
  <c r="A131" i="14"/>
  <c r="A132" i="14"/>
  <c r="A133" i="14"/>
  <c r="C133" i="14"/>
  <c r="A134" i="14"/>
  <c r="A135" i="14"/>
  <c r="A136" i="14"/>
  <c r="A137" i="14"/>
  <c r="A138" i="14"/>
  <c r="A139" i="14"/>
  <c r="C139" i="14"/>
  <c r="A140" i="14"/>
  <c r="A141" i="14"/>
  <c r="A142" i="14"/>
  <c r="A143" i="14"/>
  <c r="A144" i="14"/>
  <c r="A145" i="14"/>
  <c r="A146" i="14"/>
  <c r="D146" i="14"/>
  <c r="A147" i="14"/>
  <c r="A148" i="14"/>
  <c r="B148" i="14"/>
  <c r="C148" i="14"/>
  <c r="D148" i="14"/>
  <c r="A149" i="14"/>
  <c r="B149" i="14"/>
  <c r="C149" i="14"/>
  <c r="D149" i="14"/>
  <c r="A150" i="14"/>
  <c r="B150" i="14"/>
  <c r="C150" i="14"/>
  <c r="D150" i="14"/>
  <c r="A151" i="14"/>
  <c r="B151" i="14"/>
  <c r="C151" i="14"/>
  <c r="D151" i="14"/>
  <c r="A152" i="14"/>
  <c r="B152" i="14"/>
  <c r="C152" i="14"/>
  <c r="D152" i="14"/>
  <c r="A153" i="14"/>
  <c r="A154" i="14"/>
  <c r="A155" i="14"/>
  <c r="A156" i="14"/>
  <c r="B156" i="14"/>
  <c r="C156" i="14"/>
  <c r="D156" i="14"/>
  <c r="A157" i="14"/>
  <c r="B157" i="14"/>
  <c r="C157" i="14"/>
  <c r="D157" i="14"/>
  <c r="A158" i="14"/>
  <c r="A159" i="14"/>
  <c r="A160" i="14"/>
  <c r="A161" i="14"/>
  <c r="A162" i="14"/>
  <c r="A163" i="14"/>
  <c r="B163" i="14"/>
  <c r="C163" i="14"/>
  <c r="D163" i="14"/>
  <c r="A164" i="14"/>
  <c r="B164" i="14"/>
  <c r="C164" i="14"/>
  <c r="D164" i="14"/>
  <c r="A165" i="14"/>
  <c r="A166" i="14"/>
  <c r="A167" i="14"/>
  <c r="A168" i="14"/>
  <c r="A169" i="14"/>
  <c r="B169" i="14"/>
  <c r="C169" i="14"/>
  <c r="D169" i="14"/>
  <c r="A170" i="14"/>
  <c r="B170" i="14"/>
  <c r="C170" i="14"/>
  <c r="D170" i="14"/>
  <c r="A171" i="14"/>
  <c r="A172" i="14"/>
  <c r="B173" i="14"/>
  <c r="C173" i="14"/>
  <c r="D173" i="14"/>
  <c r="E173" i="14"/>
  <c r="A174" i="14"/>
  <c r="A175" i="14"/>
  <c r="A176" i="14"/>
  <c r="A177" i="14"/>
  <c r="A178" i="14"/>
  <c r="A179" i="14"/>
  <c r="A180" i="14"/>
  <c r="A181" i="14"/>
  <c r="A182" i="14"/>
  <c r="A183" i="14"/>
  <c r="A184" i="14"/>
  <c r="A185" i="14"/>
  <c r="A186" i="14"/>
  <c r="A187" i="14"/>
  <c r="A188" i="14"/>
  <c r="B189" i="14"/>
  <c r="C189" i="14"/>
  <c r="D189" i="14"/>
  <c r="A190" i="14"/>
  <c r="A191" i="14"/>
  <c r="A192" i="14"/>
  <c r="A193" i="14"/>
  <c r="A194" i="14"/>
  <c r="A195" i="14"/>
  <c r="B196" i="14"/>
  <c r="C196" i="14"/>
  <c r="D196" i="14"/>
  <c r="E196" i="14"/>
  <c r="A197" i="14"/>
  <c r="A198" i="14"/>
  <c r="A199" i="14"/>
  <c r="A200" i="14"/>
  <c r="A201" i="14"/>
  <c r="A202" i="14"/>
  <c r="A203" i="14"/>
  <c r="A204" i="14"/>
  <c r="A205" i="14"/>
  <c r="A206" i="14"/>
  <c r="A207" i="14"/>
  <c r="A208" i="14"/>
  <c r="A209" i="14"/>
  <c r="A210" i="14"/>
  <c r="A211" i="14"/>
  <c r="B212" i="14"/>
  <c r="C212" i="14"/>
  <c r="D212" i="14"/>
  <c r="E212" i="14"/>
  <c r="A213" i="14"/>
  <c r="A214" i="14"/>
  <c r="A215" i="14"/>
  <c r="A216" i="14"/>
  <c r="A217" i="14"/>
  <c r="A218" i="14"/>
  <c r="A219" i="14"/>
  <c r="A220" i="14"/>
  <c r="A221" i="14"/>
  <c r="A222" i="14"/>
  <c r="A223" i="14"/>
  <c r="A224" i="14"/>
  <c r="A225" i="14"/>
  <c r="A226" i="14"/>
  <c r="A227" i="14"/>
  <c r="B228" i="14"/>
  <c r="C228" i="14"/>
  <c r="D228" i="14"/>
  <c r="E228" i="14"/>
  <c r="A229" i="14"/>
  <c r="A230" i="14"/>
  <c r="B230" i="14"/>
  <c r="C230" i="14"/>
  <c r="C229" i="3" s="1"/>
  <c r="A231" i="14"/>
  <c r="B231" i="14"/>
  <c r="C231" i="14"/>
  <c r="C230" i="3" s="1"/>
  <c r="C69" i="3" s="1"/>
  <c r="C146" i="3" s="1"/>
  <c r="A232" i="14"/>
  <c r="A233" i="14"/>
  <c r="A234" i="14"/>
  <c r="B234" i="14"/>
  <c r="B235" i="14" s="1"/>
  <c r="D234" i="14"/>
  <c r="D233" i="3" s="1"/>
  <c r="A235" i="14"/>
  <c r="A236" i="14"/>
  <c r="B236" i="14"/>
  <c r="B235" i="3" s="1"/>
  <c r="C236" i="14"/>
  <c r="C235" i="3" s="1"/>
  <c r="C74" i="3" s="1"/>
  <c r="C151" i="3" s="1"/>
  <c r="D236" i="14"/>
  <c r="D235" i="3" s="1"/>
  <c r="D74" i="3" s="1"/>
  <c r="D151" i="3" s="1"/>
  <c r="A237" i="14"/>
  <c r="C237" i="14"/>
  <c r="D237" i="14"/>
  <c r="A238" i="14"/>
  <c r="A239" i="14"/>
  <c r="B239" i="14"/>
  <c r="C239" i="14"/>
  <c r="A240" i="14"/>
  <c r="B240" i="14"/>
  <c r="C240" i="14"/>
  <c r="C241" i="14" s="1"/>
  <c r="A241" i="14"/>
  <c r="A242" i="14"/>
  <c r="A243" i="14"/>
  <c r="B244" i="14"/>
  <c r="C244" i="14"/>
  <c r="D244" i="14"/>
  <c r="E244" i="14"/>
  <c r="A245" i="14"/>
  <c r="A246" i="14"/>
  <c r="A247" i="14"/>
  <c r="A248" i="14"/>
  <c r="A249" i="14"/>
  <c r="A250" i="14"/>
  <c r="A251" i="14"/>
  <c r="A252" i="14"/>
  <c r="B252" i="14"/>
  <c r="A253" i="14"/>
  <c r="B253" i="14"/>
  <c r="A254" i="14"/>
  <c r="A255" i="14"/>
  <c r="A256" i="14"/>
  <c r="A257" i="14"/>
  <c r="A258" i="14"/>
  <c r="A259" i="14"/>
  <c r="B260" i="14"/>
  <c r="C260" i="14"/>
  <c r="D260" i="14"/>
  <c r="A261" i="14"/>
  <c r="A262" i="14"/>
  <c r="A263" i="14"/>
  <c r="A264" i="14"/>
  <c r="A265" i="14"/>
  <c r="A266" i="14"/>
  <c r="A267" i="14"/>
  <c r="A268" i="14"/>
  <c r="A269" i="14"/>
  <c r="A270" i="14"/>
  <c r="A271" i="14"/>
  <c r="B272" i="14"/>
  <c r="C272" i="14"/>
  <c r="D272" i="14"/>
  <c r="E272" i="14"/>
  <c r="A273" i="14"/>
  <c r="A274" i="14"/>
  <c r="E274" i="14"/>
  <c r="A275" i="14"/>
  <c r="E275" i="14"/>
  <c r="A276" i="14"/>
  <c r="E276" i="14"/>
  <c r="A277" i="14"/>
  <c r="A278" i="14"/>
  <c r="E278" i="14"/>
  <c r="A279" i="14"/>
  <c r="E279" i="14"/>
  <c r="A280" i="14"/>
  <c r="E280" i="14"/>
  <c r="A281" i="14"/>
  <c r="E281" i="14"/>
  <c r="A282" i="14"/>
  <c r="A283" i="14"/>
  <c r="E283" i="14"/>
  <c r="A284" i="14"/>
  <c r="E284" i="14"/>
  <c r="A285" i="14"/>
  <c r="E285" i="14"/>
  <c r="A286" i="14"/>
  <c r="E286" i="14"/>
  <c r="A287" i="14"/>
  <c r="B288" i="14"/>
  <c r="C288" i="14"/>
  <c r="D288" i="14"/>
  <c r="E288" i="14"/>
  <c r="A289" i="14"/>
  <c r="A290" i="14"/>
  <c r="B290" i="14"/>
  <c r="C290" i="14"/>
  <c r="D290" i="14"/>
  <c r="E290" i="14"/>
  <c r="A291" i="14"/>
  <c r="B291" i="14"/>
  <c r="C291" i="14"/>
  <c r="D291" i="14"/>
  <c r="E291" i="14" s="1"/>
  <c r="A292" i="14"/>
  <c r="C292" i="14"/>
  <c r="A293" i="14"/>
  <c r="A294" i="14"/>
  <c r="B294" i="14"/>
  <c r="B295" i="14" s="1"/>
  <c r="C294" i="14"/>
  <c r="C295" i="14" s="1"/>
  <c r="D294" i="14"/>
  <c r="A295" i="14"/>
  <c r="D295" i="14"/>
  <c r="A296" i="14"/>
  <c r="B296" i="14"/>
  <c r="C296" i="14"/>
  <c r="D296" i="14"/>
  <c r="A297" i="14"/>
  <c r="A298" i="14"/>
  <c r="A299" i="14"/>
  <c r="A300" i="14"/>
  <c r="A301" i="14"/>
  <c r="A302" i="14"/>
  <c r="A303" i="14"/>
  <c r="B304" i="14"/>
  <c r="C304" i="14"/>
  <c r="D304" i="14"/>
  <c r="E304" i="14"/>
  <c r="A305" i="14"/>
  <c r="A306" i="14"/>
  <c r="E306" i="14"/>
  <c r="A307" i="14"/>
  <c r="E307" i="14"/>
  <c r="A308" i="14"/>
  <c r="E308" i="14"/>
  <c r="A309" i="14"/>
  <c r="A310" i="14"/>
  <c r="E310" i="14"/>
  <c r="A311" i="14"/>
  <c r="E311" i="14"/>
  <c r="A312" i="14"/>
  <c r="E312" i="14"/>
  <c r="A313" i="14"/>
  <c r="E313" i="14"/>
  <c r="A314" i="14"/>
  <c r="A315" i="14"/>
  <c r="E315" i="14"/>
  <c r="A316" i="14"/>
  <c r="E316" i="14"/>
  <c r="A317" i="14"/>
  <c r="E317" i="14"/>
  <c r="A318" i="14"/>
  <c r="E318" i="14"/>
  <c r="A319" i="14"/>
  <c r="B320" i="14"/>
  <c r="C320" i="14"/>
  <c r="D320" i="14"/>
  <c r="E320" i="14"/>
  <c r="A321" i="14"/>
  <c r="A322" i="14"/>
  <c r="E322" i="14"/>
  <c r="A323" i="14"/>
  <c r="E323" i="14"/>
  <c r="A324" i="14"/>
  <c r="E324" i="14"/>
  <c r="A325" i="14"/>
  <c r="A326" i="14"/>
  <c r="E326" i="14"/>
  <c r="A327" i="14"/>
  <c r="E327" i="14"/>
  <c r="A328" i="14"/>
  <c r="E328" i="14"/>
  <c r="A329" i="14"/>
  <c r="E329" i="14"/>
  <c r="A330" i="14"/>
  <c r="A331" i="14"/>
  <c r="E331" i="14"/>
  <c r="A332" i="14"/>
  <c r="E332" i="14"/>
  <c r="A333" i="14"/>
  <c r="E333" i="14"/>
  <c r="A334" i="14"/>
  <c r="E334" i="14"/>
  <c r="A1" i="15"/>
  <c r="A2" i="15"/>
  <c r="A3" i="15"/>
  <c r="D5" i="16"/>
  <c r="G5" i="16"/>
  <c r="B1" i="17"/>
  <c r="D1" i="17"/>
  <c r="F1" i="17"/>
  <c r="H1" i="17"/>
  <c r="J1" i="17"/>
  <c r="L1" i="17"/>
  <c r="N1" i="17"/>
  <c r="P1" i="17"/>
  <c r="R1" i="17"/>
  <c r="T1" i="17"/>
  <c r="V1" i="17"/>
  <c r="X1" i="17"/>
  <c r="Z1" i="17"/>
  <c r="AB1" i="17"/>
  <c r="AD1" i="17"/>
  <c r="AF1" i="17"/>
  <c r="AH1" i="17"/>
  <c r="AJ1" i="17"/>
  <c r="AL1" i="17"/>
  <c r="AN1" i="17"/>
  <c r="AP1" i="17"/>
  <c r="AR1" i="17"/>
  <c r="AT1" i="17"/>
  <c r="AV1" i="17"/>
  <c r="AX1" i="17"/>
  <c r="AZ1" i="17"/>
  <c r="BB1" i="17"/>
  <c r="BD1" i="17"/>
  <c r="BF1" i="17"/>
  <c r="BH1" i="17"/>
  <c r="BJ1" i="17"/>
  <c r="BL1" i="17"/>
  <c r="B2" i="17"/>
  <c r="D2" i="17"/>
  <c r="F2" i="17"/>
  <c r="H2" i="17"/>
  <c r="J2" i="17"/>
  <c r="L2" i="17"/>
  <c r="N2" i="17"/>
  <c r="P2" i="17"/>
  <c r="R2" i="17"/>
  <c r="T2" i="17"/>
  <c r="V2" i="17"/>
  <c r="X2" i="17"/>
  <c r="Z2" i="17"/>
  <c r="AB2" i="17"/>
  <c r="AD2" i="17"/>
  <c r="AF2" i="17"/>
  <c r="AH2" i="17"/>
  <c r="AJ2" i="17"/>
  <c r="AL2" i="17"/>
  <c r="AN2" i="17"/>
  <c r="AP2" i="17"/>
  <c r="AR2" i="17"/>
  <c r="AT2" i="17"/>
  <c r="AV2" i="17"/>
  <c r="AX2" i="17"/>
  <c r="AZ2" i="17"/>
  <c r="BB2" i="17"/>
  <c r="BD2" i="17"/>
  <c r="BF2" i="17"/>
  <c r="BH2" i="17"/>
  <c r="BJ2" i="17"/>
  <c r="BL2" i="17"/>
  <c r="B3" i="17"/>
  <c r="D3" i="17"/>
  <c r="F3" i="17"/>
  <c r="H3" i="17"/>
  <c r="J3" i="17"/>
  <c r="L3" i="17"/>
  <c r="N3" i="17"/>
  <c r="P3" i="17"/>
  <c r="R3" i="17"/>
  <c r="T3" i="17"/>
  <c r="V3" i="17"/>
  <c r="X3" i="17"/>
  <c r="Z3" i="17"/>
  <c r="AB3" i="17"/>
  <c r="AD3" i="17"/>
  <c r="AF3" i="17"/>
  <c r="AH3" i="17"/>
  <c r="AJ3" i="17"/>
  <c r="AL3" i="17"/>
  <c r="AN3" i="17"/>
  <c r="AP3" i="17"/>
  <c r="AR3" i="17"/>
  <c r="AT3" i="17"/>
  <c r="AV3" i="17"/>
  <c r="AX3" i="17"/>
  <c r="AZ3" i="17"/>
  <c r="BB3" i="17"/>
  <c r="BD3" i="17"/>
  <c r="BF3" i="17"/>
  <c r="BH3" i="17"/>
  <c r="BJ3" i="17"/>
  <c r="BL3" i="17"/>
  <c r="B4" i="17"/>
  <c r="D4" i="17"/>
  <c r="F4" i="17"/>
  <c r="H4" i="17"/>
  <c r="J4" i="17"/>
  <c r="L4" i="17"/>
  <c r="N4" i="17"/>
  <c r="P4" i="17"/>
  <c r="R4" i="17"/>
  <c r="T4" i="17"/>
  <c r="V4" i="17"/>
  <c r="X4" i="17"/>
  <c r="Z4" i="17"/>
  <c r="AB4" i="17"/>
  <c r="AD4" i="17"/>
  <c r="AF4" i="17"/>
  <c r="AH4" i="17"/>
  <c r="AJ4" i="17"/>
  <c r="AL4" i="17"/>
  <c r="AN4" i="17"/>
  <c r="AP4" i="17"/>
  <c r="AR4" i="17"/>
  <c r="AT4" i="17"/>
  <c r="AV4" i="17"/>
  <c r="AX4" i="17"/>
  <c r="AZ4" i="17"/>
  <c r="BB4" i="17"/>
  <c r="BD4" i="17"/>
  <c r="BF4" i="17"/>
  <c r="BH4" i="17"/>
  <c r="BJ4" i="17"/>
  <c r="BL4" i="17"/>
  <c r="B5" i="17"/>
  <c r="D5" i="17"/>
  <c r="F5" i="17"/>
  <c r="H5" i="17"/>
  <c r="J5" i="17"/>
  <c r="L5" i="17"/>
  <c r="N5" i="17"/>
  <c r="P5" i="17"/>
  <c r="R5" i="17"/>
  <c r="T5" i="17"/>
  <c r="V5" i="17"/>
  <c r="X5" i="17"/>
  <c r="Z5" i="17"/>
  <c r="AB5" i="17"/>
  <c r="AD5" i="17"/>
  <c r="AF5" i="17"/>
  <c r="AH5" i="17"/>
  <c r="AJ5" i="17"/>
  <c r="AL5" i="17"/>
  <c r="AN5" i="17"/>
  <c r="AP5" i="17"/>
  <c r="AR5" i="17"/>
  <c r="AT5" i="17"/>
  <c r="AV5" i="17"/>
  <c r="AX5" i="17"/>
  <c r="AZ5" i="17"/>
  <c r="BB5" i="17"/>
  <c r="BD5" i="17"/>
  <c r="BF5" i="17"/>
  <c r="BH5" i="17"/>
  <c r="BJ5" i="17"/>
  <c r="BL5" i="17"/>
  <c r="B6" i="17"/>
  <c r="D6" i="17"/>
  <c r="F6" i="17"/>
  <c r="H6" i="17"/>
  <c r="J6" i="17"/>
  <c r="L6" i="17"/>
  <c r="N6" i="17"/>
  <c r="P6" i="17"/>
  <c r="R6" i="17"/>
  <c r="T6" i="17"/>
  <c r="V6" i="17"/>
  <c r="X6" i="17"/>
  <c r="Z6" i="17"/>
  <c r="AB6" i="17"/>
  <c r="AD6" i="17"/>
  <c r="AF6" i="17"/>
  <c r="AH6" i="17"/>
  <c r="AJ6" i="17"/>
  <c r="AL6" i="17"/>
  <c r="AN6" i="17"/>
  <c r="AP6" i="17"/>
  <c r="AR6" i="17"/>
  <c r="AT6" i="17"/>
  <c r="AV6" i="17"/>
  <c r="AX6" i="17"/>
  <c r="AZ6" i="17"/>
  <c r="BB6" i="17"/>
  <c r="BD6" i="17"/>
  <c r="BF6" i="17"/>
  <c r="BH6" i="17"/>
  <c r="BJ6" i="17"/>
  <c r="BL6" i="17"/>
  <c r="B7" i="17"/>
  <c r="D7" i="17"/>
  <c r="F7" i="17"/>
  <c r="H7" i="17"/>
  <c r="J7" i="17"/>
  <c r="L7" i="17"/>
  <c r="N7" i="17"/>
  <c r="B8" i="17"/>
  <c r="D8" i="17"/>
  <c r="F8" i="17"/>
  <c r="H8" i="17"/>
  <c r="J8" i="17"/>
  <c r="L8" i="17"/>
  <c r="N8" i="17"/>
  <c r="P8" i="17"/>
  <c r="R8" i="17"/>
  <c r="T8" i="17"/>
  <c r="V8" i="17"/>
  <c r="X8" i="17"/>
  <c r="Z8" i="17"/>
  <c r="AB8" i="17"/>
  <c r="AD8" i="17"/>
  <c r="AH8" i="17"/>
  <c r="B9" i="17"/>
  <c r="D9" i="17"/>
  <c r="F9" i="17"/>
  <c r="J9" i="17"/>
  <c r="L9" i="17"/>
  <c r="N9" i="17"/>
  <c r="P9" i="17"/>
  <c r="R9" i="17"/>
  <c r="T9" i="17"/>
  <c r="V9" i="17"/>
  <c r="X9" i="17"/>
  <c r="Z9" i="17"/>
  <c r="AB9" i="17"/>
  <c r="AD9" i="17"/>
  <c r="AH9" i="17"/>
  <c r="AJ9" i="17"/>
  <c r="AL9" i="17"/>
  <c r="AP9" i="17"/>
  <c r="AR9" i="17"/>
  <c r="AT9" i="17"/>
  <c r="AV9" i="17"/>
  <c r="AX9" i="17"/>
  <c r="AZ9" i="17"/>
  <c r="BB9" i="17"/>
  <c r="BF9" i="17"/>
  <c r="BH9" i="17"/>
  <c r="BL9" i="17"/>
  <c r="B10" i="17"/>
  <c r="D10" i="17"/>
  <c r="J10" i="17"/>
  <c r="L10" i="17"/>
  <c r="P10" i="17"/>
  <c r="R10" i="17"/>
  <c r="T10" i="17"/>
  <c r="V10" i="17"/>
  <c r="Z10" i="17"/>
  <c r="AB10" i="17"/>
  <c r="AD10" i="17"/>
  <c r="AH10" i="17"/>
  <c r="AL10" i="17"/>
  <c r="AN10" i="17"/>
  <c r="AP10" i="17"/>
  <c r="AR10" i="17"/>
  <c r="AT10" i="17"/>
  <c r="BJ10" i="17"/>
  <c r="BL10" i="17"/>
  <c r="D11" i="17"/>
  <c r="F11" i="17"/>
  <c r="H11" i="17"/>
  <c r="J11" i="17"/>
  <c r="N11" i="17"/>
  <c r="P11" i="17"/>
  <c r="R11" i="17"/>
  <c r="T11" i="17"/>
  <c r="V11" i="17"/>
  <c r="X11" i="17"/>
  <c r="Z11" i="17"/>
  <c r="AB11" i="17"/>
  <c r="AD11" i="17"/>
  <c r="AF11" i="17"/>
  <c r="AH11" i="17"/>
  <c r="BD11" i="17"/>
  <c r="V12" i="17"/>
  <c r="AV12" i="17"/>
  <c r="AX12" i="17"/>
  <c r="AZ12" i="17"/>
  <c r="BF12" i="17"/>
  <c r="BH12" i="17"/>
  <c r="BL12" i="17"/>
  <c r="B13" i="17"/>
  <c r="D13" i="17"/>
  <c r="H13" i="17"/>
  <c r="N13" i="17"/>
  <c r="P13" i="17"/>
  <c r="X13" i="17"/>
  <c r="Z13" i="17"/>
  <c r="AD13" i="17"/>
  <c r="AF13" i="17"/>
  <c r="AH13" i="17"/>
  <c r="AJ13" i="17"/>
  <c r="AP13" i="17"/>
  <c r="AV13" i="17"/>
  <c r="BD13" i="17"/>
  <c r="BL13" i="17"/>
  <c r="B14" i="17"/>
  <c r="P14" i="17"/>
  <c r="R14" i="17"/>
  <c r="X14" i="17"/>
  <c r="AB14" i="17"/>
  <c r="AD14" i="17"/>
  <c r="AF14" i="17"/>
  <c r="AH14" i="17"/>
  <c r="AJ14" i="17"/>
  <c r="AL14" i="17"/>
  <c r="AN14" i="17"/>
  <c r="AP14" i="17"/>
  <c r="AT14" i="17"/>
  <c r="AV14" i="17"/>
  <c r="AX14" i="17"/>
  <c r="AZ14" i="17"/>
  <c r="BB14" i="17"/>
  <c r="BD14" i="17"/>
  <c r="C177" i="3" l="1"/>
  <c r="B241" i="14"/>
  <c r="B65" i="11"/>
  <c r="D82" i="4"/>
  <c r="B114" i="2"/>
  <c r="C103" i="3"/>
  <c r="B53" i="12"/>
  <c r="B292" i="14"/>
  <c r="D123" i="14"/>
  <c r="E22" i="13" s="1"/>
  <c r="E64" i="11"/>
  <c r="E63" i="11"/>
  <c r="E65" i="11" s="1"/>
  <c r="E54" i="11"/>
  <c r="E67" i="4"/>
  <c r="B82" i="4"/>
  <c r="E113" i="2"/>
  <c r="E112" i="2"/>
  <c r="E39" i="2"/>
  <c r="E70" i="11"/>
  <c r="E176" i="3"/>
  <c r="E177" i="3" s="1"/>
  <c r="D177" i="3"/>
  <c r="E99" i="3"/>
  <c r="D100" i="3"/>
  <c r="C68" i="4"/>
  <c r="C39" i="11"/>
  <c r="D39" i="11" s="1"/>
  <c r="BB13" i="17" s="1"/>
  <c r="B255" i="14"/>
  <c r="B47" i="14"/>
  <c r="B7" i="6"/>
  <c r="B62" i="4"/>
  <c r="B91" i="11"/>
  <c r="E83" i="2"/>
  <c r="E76" i="2"/>
  <c r="D40" i="2"/>
  <c r="B82" i="11"/>
  <c r="B92" i="11" s="1"/>
  <c r="C232" i="14"/>
  <c r="B55" i="14"/>
  <c r="B56" i="14" s="1"/>
  <c r="E72" i="11"/>
  <c r="AN13" i="17"/>
  <c r="D235" i="14"/>
  <c r="B232" i="14"/>
  <c r="E122" i="14"/>
  <c r="B141" i="3"/>
  <c r="E104" i="3"/>
  <c r="E65" i="2"/>
  <c r="E66" i="2" s="1"/>
  <c r="B250" i="14"/>
  <c r="B251" i="14" s="1"/>
  <c r="BJ9" i="17"/>
  <c r="D38" i="11"/>
  <c r="D40" i="11"/>
  <c r="BH13" i="17" s="1"/>
  <c r="BF13" i="17"/>
  <c r="E67" i="11"/>
  <c r="E68" i="11" s="1"/>
  <c r="C53" i="11"/>
  <c r="E51" i="11"/>
  <c r="B24" i="11"/>
  <c r="F12" i="11"/>
  <c r="F10" i="11"/>
  <c r="C93" i="5"/>
  <c r="C161" i="14" s="1"/>
  <c r="E296" i="3"/>
  <c r="B294" i="3"/>
  <c r="B57" i="3" s="1"/>
  <c r="B58" i="3" s="1"/>
  <c r="B291" i="3"/>
  <c r="B215" i="3" s="1"/>
  <c r="B220" i="3"/>
  <c r="D114" i="14"/>
  <c r="D58" i="11"/>
  <c r="E53" i="11"/>
  <c r="Z14" i="17"/>
  <c r="J14" i="17"/>
  <c r="B256" i="14"/>
  <c r="B257" i="14" s="1"/>
  <c r="B246" i="14"/>
  <c r="C234" i="14"/>
  <c r="C233" i="3" s="1"/>
  <c r="C72" i="3" s="1"/>
  <c r="C22" i="13"/>
  <c r="AR14" i="17"/>
  <c r="T14" i="17"/>
  <c r="D14" i="17"/>
  <c r="AZ13" i="17"/>
  <c r="AR13" i="17"/>
  <c r="B11" i="17"/>
  <c r="N10" i="17"/>
  <c r="E294" i="14"/>
  <c r="D239" i="14"/>
  <c r="E239" i="14" s="1"/>
  <c r="D230" i="14"/>
  <c r="D229" i="3" s="1"/>
  <c r="B220" i="14"/>
  <c r="E119" i="14"/>
  <c r="B117" i="14"/>
  <c r="B14" i="13" s="1"/>
  <c r="C55" i="14"/>
  <c r="C56" i="14" s="1"/>
  <c r="E113" i="14"/>
  <c r="B51" i="14"/>
  <c r="D48" i="11"/>
  <c r="D49" i="11" s="1"/>
  <c r="D59" i="11" s="1"/>
  <c r="D47" i="11"/>
  <c r="E47" i="11" s="1"/>
  <c r="B7" i="8"/>
  <c r="B7" i="7"/>
  <c r="C67" i="5"/>
  <c r="C135" i="14" s="1"/>
  <c r="C61" i="5"/>
  <c r="C129" i="14" s="1"/>
  <c r="B7" i="4"/>
  <c r="D209" i="3"/>
  <c r="B181" i="3"/>
  <c r="E181" i="3" s="1"/>
  <c r="B179" i="3"/>
  <c r="E38" i="2"/>
  <c r="E40" i="2" s="1"/>
  <c r="V14" i="17"/>
  <c r="F14" i="17"/>
  <c r="BJ13" i="17"/>
  <c r="AT13" i="17"/>
  <c r="AL13" i="17"/>
  <c r="L11" i="17"/>
  <c r="AV10" i="17"/>
  <c r="X10" i="17"/>
  <c r="H10" i="17"/>
  <c r="BD9" i="17"/>
  <c r="AN9" i="17"/>
  <c r="E296" i="14"/>
  <c r="E295" i="14"/>
  <c r="B247" i="14"/>
  <c r="B248" i="14" s="1"/>
  <c r="B237" i="14"/>
  <c r="E237" i="14" s="1"/>
  <c r="E234" i="14"/>
  <c r="E235" i="14" s="1"/>
  <c r="E118" i="14"/>
  <c r="C117" i="14"/>
  <c r="B18" i="13" s="1"/>
  <c r="D116" i="14"/>
  <c r="C52" i="14"/>
  <c r="C51" i="14"/>
  <c r="E56" i="11"/>
  <c r="C86" i="5"/>
  <c r="C154" i="14" s="1"/>
  <c r="C7" i="8"/>
  <c r="C7" i="7"/>
  <c r="B7" i="5"/>
  <c r="B86" i="5" s="1"/>
  <c r="B58" i="4"/>
  <c r="E102" i="3"/>
  <c r="E103" i="3" s="1"/>
  <c r="C40" i="2"/>
  <c r="B13" i="8"/>
  <c r="C234" i="3"/>
  <c r="B230" i="3"/>
  <c r="B70" i="5"/>
  <c r="B138" i="14" s="1"/>
  <c r="C68" i="3"/>
  <c r="C231" i="3"/>
  <c r="B76" i="4"/>
  <c r="B32" i="7"/>
  <c r="E121" i="14"/>
  <c r="B75" i="4"/>
  <c r="B31" i="7"/>
  <c r="D22" i="13"/>
  <c r="D73" i="4"/>
  <c r="D14" i="7"/>
  <c r="D58" i="14" s="1"/>
  <c r="B14" i="6"/>
  <c r="P12" i="17" s="1"/>
  <c r="B21" i="14"/>
  <c r="A13" i="13" s="1"/>
  <c r="E240" i="14"/>
  <c r="E236" i="14"/>
  <c r="D220" i="14"/>
  <c r="C114" i="14"/>
  <c r="B59" i="11"/>
  <c r="B74" i="3"/>
  <c r="B89" i="3" s="1"/>
  <c r="E235" i="3"/>
  <c r="D234" i="3"/>
  <c r="D72" i="3"/>
  <c r="D231" i="3"/>
  <c r="D68" i="3"/>
  <c r="C76" i="4"/>
  <c r="C32" i="7"/>
  <c r="C61" i="14" s="1"/>
  <c r="C75" i="4"/>
  <c r="C31" i="7"/>
  <c r="C123" i="14"/>
  <c r="E18" i="13" s="1"/>
  <c r="C235" i="14"/>
  <c r="C13" i="8" s="1"/>
  <c r="B123" i="14"/>
  <c r="E114" i="14"/>
  <c r="E112" i="14"/>
  <c r="B52" i="14"/>
  <c r="E52" i="14" s="1"/>
  <c r="C21" i="14"/>
  <c r="A17" i="13" s="1"/>
  <c r="D75" i="4"/>
  <c r="D31" i="7"/>
  <c r="B73" i="4"/>
  <c r="B14" i="7"/>
  <c r="D14" i="13"/>
  <c r="C18" i="13"/>
  <c r="C57" i="14"/>
  <c r="B38" i="14"/>
  <c r="B48" i="14" s="1"/>
  <c r="B66" i="14"/>
  <c r="B57" i="14"/>
  <c r="D21" i="14"/>
  <c r="A21" i="13" s="1"/>
  <c r="B75" i="11"/>
  <c r="B233" i="3"/>
  <c r="B229" i="3"/>
  <c r="B64" i="5"/>
  <c r="B132" i="14" s="1"/>
  <c r="D292" i="14"/>
  <c r="E292" i="14" s="1"/>
  <c r="D232" i="14"/>
  <c r="E231" i="14"/>
  <c r="C220" i="14"/>
  <c r="E220" i="14" s="1"/>
  <c r="D51" i="14"/>
  <c r="D53" i="14" s="1"/>
  <c r="C75" i="11"/>
  <c r="C51" i="4"/>
  <c r="B56" i="4"/>
  <c r="E30" i="4"/>
  <c r="C32" i="4"/>
  <c r="C111" i="4"/>
  <c r="D18" i="13"/>
  <c r="D74" i="11"/>
  <c r="E73" i="11"/>
  <c r="E74" i="11" s="1"/>
  <c r="C58" i="11"/>
  <c r="C59" i="11" s="1"/>
  <c r="B10" i="8"/>
  <c r="B190" i="14" s="1"/>
  <c r="C14" i="7"/>
  <c r="C58" i="14" s="1"/>
  <c r="C14" i="6"/>
  <c r="R12" i="17" s="1"/>
  <c r="B53" i="4"/>
  <c r="B81" i="4"/>
  <c r="D32" i="4"/>
  <c r="D111" i="4"/>
  <c r="D113" i="4" s="1"/>
  <c r="B245" i="3"/>
  <c r="E57" i="11"/>
  <c r="C10" i="8"/>
  <c r="C190" i="14" s="1"/>
  <c r="E66" i="4"/>
  <c r="E68" i="4" s="1"/>
  <c r="B68" i="4"/>
  <c r="B88" i="4"/>
  <c r="D10" i="8"/>
  <c r="D190" i="14" s="1"/>
  <c r="E100" i="3"/>
  <c r="B300" i="3"/>
  <c r="B299" i="3"/>
  <c r="B297" i="3"/>
  <c r="E31" i="4"/>
  <c r="B112" i="4"/>
  <c r="D65" i="11"/>
  <c r="D32" i="7"/>
  <c r="D61" i="14" s="1"/>
  <c r="B250" i="3"/>
  <c r="B214" i="3"/>
  <c r="B135" i="3"/>
  <c r="B54" i="3"/>
  <c r="B40" i="2"/>
  <c r="B292" i="3"/>
  <c r="B132" i="3"/>
  <c r="E114" i="2" l="1"/>
  <c r="B295" i="3"/>
  <c r="E58" i="11"/>
  <c r="B70" i="14"/>
  <c r="E52" i="11"/>
  <c r="E59" i="11" s="1"/>
  <c r="E48" i="11"/>
  <c r="E49" i="11" s="1"/>
  <c r="C53" i="14"/>
  <c r="B99" i="5"/>
  <c r="B167" i="14" s="1"/>
  <c r="B74" i="5"/>
  <c r="B142" i="14" s="1"/>
  <c r="B93" i="5"/>
  <c r="B161" i="14" s="1"/>
  <c r="B61" i="5"/>
  <c r="B129" i="14" s="1"/>
  <c r="B67" i="5"/>
  <c r="B135" i="14" s="1"/>
  <c r="B180" i="3"/>
  <c r="E179" i="3"/>
  <c r="E180" i="3" s="1"/>
  <c r="D55" i="14"/>
  <c r="E116" i="14"/>
  <c r="D117" i="14"/>
  <c r="B22" i="13" s="1"/>
  <c r="B124" i="14"/>
  <c r="B218" i="3"/>
  <c r="B248" i="3" s="1"/>
  <c r="D75" i="11"/>
  <c r="B77" i="5"/>
  <c r="B145" i="14" s="1"/>
  <c r="D241" i="14"/>
  <c r="B242" i="14"/>
  <c r="D7" i="6"/>
  <c r="D7" i="8"/>
  <c r="D7" i="5"/>
  <c r="D7" i="4"/>
  <c r="D7" i="7"/>
  <c r="A22" i="13"/>
  <c r="E241" i="14"/>
  <c r="E230" i="14"/>
  <c r="E232" i="14" s="1"/>
  <c r="B216" i="3"/>
  <c r="B244" i="3"/>
  <c r="B301" i="3"/>
  <c r="B223" i="3"/>
  <c r="B62" i="3"/>
  <c r="B83" i="4"/>
  <c r="C81" i="4"/>
  <c r="D13" i="8"/>
  <c r="D242" i="14"/>
  <c r="E57" i="14"/>
  <c r="B72" i="14"/>
  <c r="D33" i="7"/>
  <c r="D60" i="14"/>
  <c r="D62" i="14" s="1"/>
  <c r="D73" i="3"/>
  <c r="D149" i="3"/>
  <c r="D150" i="3" s="1"/>
  <c r="B258" i="14"/>
  <c r="B77" i="4"/>
  <c r="E75" i="4"/>
  <c r="B90" i="4"/>
  <c r="B142" i="3"/>
  <c r="E75" i="11"/>
  <c r="C242" i="14"/>
  <c r="B221" i="3"/>
  <c r="B60" i="3"/>
  <c r="B219" i="3"/>
  <c r="B224" i="3"/>
  <c r="B63" i="3"/>
  <c r="B154" i="14"/>
  <c r="D51" i="4"/>
  <c r="C113" i="4"/>
  <c r="E111" i="4"/>
  <c r="B68" i="3"/>
  <c r="E229" i="3"/>
  <c r="B231" i="3"/>
  <c r="B214" i="14"/>
  <c r="E73" i="4"/>
  <c r="E123" i="14"/>
  <c r="E14" i="13"/>
  <c r="E74" i="3"/>
  <c r="B151" i="3"/>
  <c r="E31" i="7"/>
  <c r="B33" i="7"/>
  <c r="B35" i="7"/>
  <c r="B60" i="14"/>
  <c r="E76" i="4"/>
  <c r="B91" i="4"/>
  <c r="B69" i="3"/>
  <c r="E230" i="3"/>
  <c r="B215" i="14"/>
  <c r="B302" i="3"/>
  <c r="B55" i="3"/>
  <c r="B67" i="14"/>
  <c r="B265" i="3"/>
  <c r="B25" i="14"/>
  <c r="B119" i="3"/>
  <c r="E14" i="7"/>
  <c r="B58" i="14"/>
  <c r="E58" i="14" s="1"/>
  <c r="C77" i="4"/>
  <c r="A18" i="13"/>
  <c r="C124" i="14"/>
  <c r="B71" i="14"/>
  <c r="B36" i="7"/>
  <c r="E32" i="7"/>
  <c r="B61" i="14"/>
  <c r="E61" i="14" s="1"/>
  <c r="C149" i="3"/>
  <c r="C150" i="3" s="1"/>
  <c r="C73" i="3"/>
  <c r="C52" i="4"/>
  <c r="E112" i="4"/>
  <c r="B72" i="3"/>
  <c r="E233" i="3"/>
  <c r="E234" i="3" s="1"/>
  <c r="B234" i="3"/>
  <c r="B218" i="14"/>
  <c r="D77" i="4"/>
  <c r="C33" i="7"/>
  <c r="C60" i="14"/>
  <c r="C62" i="14" s="1"/>
  <c r="C63" i="14" s="1"/>
  <c r="D70" i="3"/>
  <c r="D145" i="3"/>
  <c r="D147" i="3" s="1"/>
  <c r="C145" i="3"/>
  <c r="C147" i="3" s="1"/>
  <c r="C70" i="3"/>
  <c r="B63" i="4"/>
  <c r="B15" i="7"/>
  <c r="E32" i="4"/>
  <c r="B113" i="4"/>
  <c r="E51" i="14"/>
  <c r="E53" i="14" s="1"/>
  <c r="B53" i="14"/>
  <c r="E13" i="8" l="1"/>
  <c r="E242" i="14"/>
  <c r="D56" i="14"/>
  <c r="D63" i="14" s="1"/>
  <c r="E55" i="14"/>
  <c r="E56" i="14" s="1"/>
  <c r="E231" i="3"/>
  <c r="E117" i="14"/>
  <c r="D61" i="5"/>
  <c r="D129" i="14" s="1"/>
  <c r="D67" i="5"/>
  <c r="D135" i="14" s="1"/>
  <c r="D93" i="5"/>
  <c r="D161" i="14" s="1"/>
  <c r="D99" i="5"/>
  <c r="D167" i="14" s="1"/>
  <c r="D74" i="5"/>
  <c r="D142" i="14" s="1"/>
  <c r="D86" i="5"/>
  <c r="D154" i="14" s="1"/>
  <c r="D124" i="14"/>
  <c r="E124" i="14" s="1"/>
  <c r="B72" i="4"/>
  <c r="C13" i="13"/>
  <c r="B26" i="14"/>
  <c r="D13" i="13" s="1"/>
  <c r="B18" i="6"/>
  <c r="B29" i="14"/>
  <c r="B23" i="14"/>
  <c r="B28" i="14"/>
  <c r="B73" i="3"/>
  <c r="B149" i="3"/>
  <c r="E72" i="3"/>
  <c r="E73" i="3" s="1"/>
  <c r="B87" i="3"/>
  <c r="E52" i="4"/>
  <c r="C82" i="4"/>
  <c r="E82" i="4" s="1"/>
  <c r="B146" i="3"/>
  <c r="E69" i="3"/>
  <c r="E60" i="14"/>
  <c r="E62" i="14" s="1"/>
  <c r="B62" i="14"/>
  <c r="B63" i="14" s="1"/>
  <c r="B87" i="14"/>
  <c r="B102" i="14" s="1"/>
  <c r="E113" i="4"/>
  <c r="C53" i="4"/>
  <c r="B84" i="3"/>
  <c r="B73" i="14"/>
  <c r="B219" i="14"/>
  <c r="B204" i="14"/>
  <c r="B216" i="14"/>
  <c r="B145" i="3"/>
  <c r="E68" i="3"/>
  <c r="E70" i="3" s="1"/>
  <c r="B70" i="3"/>
  <c r="B83" i="3"/>
  <c r="B249" i="3"/>
  <c r="E33" i="7"/>
  <c r="E77" i="4"/>
  <c r="B68" i="14"/>
  <c r="B76" i="14"/>
  <c r="C59" i="3"/>
  <c r="B35" i="12"/>
  <c r="D81" i="4"/>
  <c r="D53" i="4"/>
  <c r="B92" i="4"/>
  <c r="B225" i="3"/>
  <c r="B226" i="3" s="1"/>
  <c r="E51" i="4"/>
  <c r="B37" i="7"/>
  <c r="B75" i="14"/>
  <c r="E151" i="3"/>
  <c r="B166" i="3"/>
  <c r="B64" i="3"/>
  <c r="B65" i="3" s="1"/>
  <c r="B246" i="3"/>
  <c r="E63" i="14" l="1"/>
  <c r="E53" i="4"/>
  <c r="C83" i="4"/>
  <c r="C42" i="14"/>
  <c r="D83" i="4"/>
  <c r="E81" i="4"/>
  <c r="E83" i="4" s="1"/>
  <c r="B85" i="3"/>
  <c r="B113" i="3"/>
  <c r="E145" i="3"/>
  <c r="B147" i="3"/>
  <c r="B160" i="3"/>
  <c r="E146" i="3"/>
  <c r="B161" i="3"/>
  <c r="B150" i="3"/>
  <c r="E149" i="3"/>
  <c r="E150" i="3" s="1"/>
  <c r="B164" i="3"/>
  <c r="B18" i="4"/>
  <c r="B87" i="4"/>
  <c r="C89" i="3"/>
  <c r="B17" i="6"/>
  <c r="AB12" i="17" s="1"/>
  <c r="B24" i="14"/>
  <c r="B13" i="13" s="1"/>
  <c r="B70" i="4"/>
  <c r="B196" i="3"/>
  <c r="B114" i="3"/>
  <c r="B30" i="14"/>
  <c r="E13" i="13" s="1"/>
  <c r="B77" i="14"/>
  <c r="B78" i="14" s="1"/>
  <c r="B117" i="3"/>
  <c r="B88" i="3"/>
  <c r="B96" i="2"/>
  <c r="AH12" i="17"/>
  <c r="B19" i="6"/>
  <c r="B97" i="2"/>
  <c r="B21" i="6" l="1"/>
  <c r="AX10" i="17"/>
  <c r="B238" i="3"/>
  <c r="C136" i="3"/>
  <c r="C119" i="3"/>
  <c r="C72" i="14"/>
  <c r="B68" i="5"/>
  <c r="B100" i="5"/>
  <c r="B62" i="5"/>
  <c r="B75" i="5"/>
  <c r="B87" i="5"/>
  <c r="B94" i="5"/>
  <c r="B22" i="6"/>
  <c r="BD10" i="17"/>
  <c r="B239" i="3"/>
  <c r="B118" i="3"/>
  <c r="B30" i="12" s="1"/>
  <c r="B102" i="4"/>
  <c r="B162" i="3"/>
  <c r="B190" i="3"/>
  <c r="B115" i="3"/>
  <c r="A15" i="13"/>
  <c r="B31" i="14" s="1"/>
  <c r="AN12" i="17"/>
  <c r="B236" i="3"/>
  <c r="B71" i="4"/>
  <c r="B78" i="4" s="1"/>
  <c r="B85" i="4"/>
  <c r="B194" i="3"/>
  <c r="B165" i="3"/>
  <c r="B266" i="14"/>
  <c r="B191" i="3"/>
  <c r="E147" i="3"/>
  <c r="B18" i="5" l="1"/>
  <c r="B143" i="14"/>
  <c r="B75" i="3"/>
  <c r="B221" i="14"/>
  <c r="B251" i="3"/>
  <c r="B25" i="12"/>
  <c r="B78" i="3"/>
  <c r="B224" i="14"/>
  <c r="B254" i="3"/>
  <c r="B155" i="14"/>
  <c r="B136" i="14"/>
  <c r="D59" i="3"/>
  <c r="B36" i="12"/>
  <c r="C131" i="3"/>
  <c r="B86" i="4"/>
  <c r="B93" i="4" s="1"/>
  <c r="B192" i="3"/>
  <c r="C130" i="3"/>
  <c r="B162" i="14"/>
  <c r="B168" i="14"/>
  <c r="C87" i="14"/>
  <c r="C102" i="14" s="1"/>
  <c r="B77" i="3"/>
  <c r="B240" i="3"/>
  <c r="B241" i="3" s="1"/>
  <c r="B223" i="14"/>
  <c r="B253" i="3"/>
  <c r="C134" i="3"/>
  <c r="B195" i="3"/>
  <c r="B130" i="14"/>
  <c r="C166" i="3"/>
  <c r="B19" i="12" l="1"/>
  <c r="B191" i="14"/>
  <c r="B192" i="14" s="1"/>
  <c r="D42" i="14"/>
  <c r="B225" i="14"/>
  <c r="B226" i="14" s="1"/>
  <c r="B154" i="3"/>
  <c r="B79" i="3"/>
  <c r="B92" i="3"/>
  <c r="C132" i="3"/>
  <c r="C160" i="3"/>
  <c r="B155" i="3"/>
  <c r="B93" i="3"/>
  <c r="B152" i="3"/>
  <c r="B90" i="3"/>
  <c r="B80" i="3"/>
  <c r="C164" i="3"/>
  <c r="C135" i="3"/>
  <c r="C196" i="3"/>
  <c r="B255" i="3"/>
  <c r="B256" i="3" s="1"/>
  <c r="D89" i="3"/>
  <c r="E59" i="3"/>
  <c r="C161" i="3"/>
  <c r="B167" i="3" l="1"/>
  <c r="C162" i="3"/>
  <c r="C190" i="3"/>
  <c r="B170" i="3"/>
  <c r="B69" i="5"/>
  <c r="B63" i="5"/>
  <c r="B76" i="5"/>
  <c r="C191" i="3"/>
  <c r="D136" i="3"/>
  <c r="D119" i="3"/>
  <c r="E89" i="3"/>
  <c r="C165" i="3"/>
  <c r="C194" i="3"/>
  <c r="B94" i="3"/>
  <c r="B95" i="3" s="1"/>
  <c r="B169" i="3"/>
  <c r="B156" i="3"/>
  <c r="B157" i="3" s="1"/>
  <c r="D72" i="14"/>
  <c r="E42" i="14"/>
  <c r="B37" i="12" l="1"/>
  <c r="E119" i="3"/>
  <c r="D131" i="3"/>
  <c r="B131" i="14"/>
  <c r="B44" i="5"/>
  <c r="B28" i="5" s="1"/>
  <c r="C192" i="3"/>
  <c r="D130" i="3"/>
  <c r="D134" i="3"/>
  <c r="C195" i="3"/>
  <c r="B144" i="14"/>
  <c r="B47" i="5"/>
  <c r="B31" i="5" s="1"/>
  <c r="D87" i="14"/>
  <c r="E87" i="14" s="1"/>
  <c r="E72" i="14"/>
  <c r="D166" i="3"/>
  <c r="E136" i="3"/>
  <c r="B171" i="3"/>
  <c r="B172" i="3" s="1"/>
  <c r="B137" i="14"/>
  <c r="B45" i="5"/>
  <c r="B29" i="5" s="1"/>
  <c r="D102" i="14" l="1"/>
  <c r="E102" i="14" s="1"/>
  <c r="B259" i="3"/>
  <c r="B81" i="14"/>
  <c r="AL11" i="17"/>
  <c r="B260" i="3"/>
  <c r="B82" i="14"/>
  <c r="AR11" i="17"/>
  <c r="D164" i="3"/>
  <c r="D135" i="3"/>
  <c r="E134" i="3"/>
  <c r="E135" i="3" s="1"/>
  <c r="D196" i="3"/>
  <c r="E166" i="3"/>
  <c r="D161" i="3"/>
  <c r="E131" i="3"/>
  <c r="B263" i="3"/>
  <c r="B100" i="4"/>
  <c r="B85" i="14"/>
  <c r="AX11" i="17"/>
  <c r="D132" i="3"/>
  <c r="D160" i="3"/>
  <c r="E130" i="3"/>
  <c r="E132" i="3" l="1"/>
  <c r="B264" i="3"/>
  <c r="B81" i="9"/>
  <c r="B278" i="3"/>
  <c r="D194" i="3"/>
  <c r="D165" i="3"/>
  <c r="E164" i="3"/>
  <c r="E165" i="3" s="1"/>
  <c r="B275" i="3"/>
  <c r="B76" i="9"/>
  <c r="B261" i="3"/>
  <c r="B75" i="9"/>
  <c r="B274" i="3"/>
  <c r="D162" i="3"/>
  <c r="D190" i="3"/>
  <c r="E160" i="3"/>
  <c r="D191" i="3"/>
  <c r="E161" i="3"/>
  <c r="B101" i="4"/>
  <c r="B17" i="4"/>
  <c r="B17" i="5"/>
  <c r="B16" i="5"/>
  <c r="B34" i="4"/>
  <c r="B86" i="14"/>
  <c r="B100" i="14"/>
  <c r="B97" i="14"/>
  <c r="B83" i="14"/>
  <c r="B96" i="14"/>
  <c r="B18" i="3"/>
  <c r="E196" i="3"/>
  <c r="E162" i="3" l="1"/>
  <c r="B265" i="14"/>
  <c r="B77" i="9"/>
  <c r="B198" i="14"/>
  <c r="C291" i="3"/>
  <c r="C215" i="3" s="1"/>
  <c r="D195" i="3"/>
  <c r="B16" i="3"/>
  <c r="B17" i="3" s="1"/>
  <c r="E194" i="3"/>
  <c r="E195" i="3" s="1"/>
  <c r="C37" i="14"/>
  <c r="B13" i="3"/>
  <c r="E191" i="3"/>
  <c r="B276" i="3"/>
  <c r="C290" i="3"/>
  <c r="C214" i="3" s="1"/>
  <c r="B199" i="14"/>
  <c r="B98" i="14"/>
  <c r="C36" i="14"/>
  <c r="B82" i="9"/>
  <c r="B203" i="14"/>
  <c r="B202" i="14"/>
  <c r="B116" i="4"/>
  <c r="B35" i="4"/>
  <c r="B115" i="4"/>
  <c r="B101" i="14"/>
  <c r="C40" i="14"/>
  <c r="D192" i="3"/>
  <c r="B12" i="3"/>
  <c r="B14" i="3" s="1"/>
  <c r="E190" i="3"/>
  <c r="E192" i="3" s="1"/>
  <c r="B279" i="3"/>
  <c r="E30" i="12" s="1"/>
  <c r="C294" i="3"/>
  <c r="C70" i="5" l="1"/>
  <c r="C138" i="14" s="1"/>
  <c r="C216" i="3"/>
  <c r="C244" i="3"/>
  <c r="C295" i="3"/>
  <c r="C218" i="14"/>
  <c r="C57" i="3"/>
  <c r="C55" i="4"/>
  <c r="C292" i="3"/>
  <c r="C214" i="14"/>
  <c r="C53" i="3"/>
  <c r="C67" i="14"/>
  <c r="B200" i="14"/>
  <c r="C70" i="14"/>
  <c r="C41" i="14"/>
  <c r="C38" i="14"/>
  <c r="C66" i="14"/>
  <c r="C245" i="3"/>
  <c r="C77" i="5"/>
  <c r="C145" i="14" s="1"/>
  <c r="C64" i="5"/>
  <c r="C132" i="14" s="1"/>
  <c r="E25" i="12"/>
  <c r="C215" i="14"/>
  <c r="C54" i="3"/>
  <c r="C218" i="3"/>
  <c r="C219" i="14" l="1"/>
  <c r="C71" i="14"/>
  <c r="C87" i="3"/>
  <c r="C58" i="3"/>
  <c r="C246" i="3"/>
  <c r="B181" i="14"/>
  <c r="C216" i="14"/>
  <c r="C56" i="4"/>
  <c r="C248" i="3"/>
  <c r="C219" i="3"/>
  <c r="C84" i="3"/>
  <c r="C68" i="14"/>
  <c r="C55" i="3"/>
  <c r="C83" i="3"/>
  <c r="C114" i="3" l="1"/>
  <c r="C249" i="3"/>
  <c r="C85" i="3"/>
  <c r="C113" i="3"/>
  <c r="C88" i="3"/>
  <c r="C117" i="3"/>
  <c r="B31" i="6"/>
  <c r="B36" i="6"/>
  <c r="B103" i="5"/>
  <c r="B30" i="6"/>
  <c r="B40" i="6"/>
  <c r="B182" i="14" s="1"/>
  <c r="B45" i="6"/>
  <c r="B97" i="5"/>
  <c r="B44" i="6"/>
  <c r="B184" i="14" s="1"/>
  <c r="B90" i="5"/>
  <c r="B96" i="4"/>
  <c r="B97" i="4"/>
  <c r="B171" i="14" l="1"/>
  <c r="B52" i="5"/>
  <c r="B36" i="5" s="1"/>
  <c r="C115" i="3"/>
  <c r="B14" i="4"/>
  <c r="B98" i="4"/>
  <c r="B12" i="5"/>
  <c r="B165" i="14"/>
  <c r="B51" i="5"/>
  <c r="B35" i="5" s="1"/>
  <c r="B175" i="14"/>
  <c r="B158" i="14"/>
  <c r="B49" i="5"/>
  <c r="B33" i="5" s="1"/>
  <c r="B15" i="4"/>
  <c r="B13" i="5"/>
  <c r="B32" i="6"/>
  <c r="B176" i="14"/>
  <c r="B177" i="14"/>
  <c r="C87" i="5"/>
  <c r="C94" i="5"/>
  <c r="C68" i="5"/>
  <c r="C75" i="5"/>
  <c r="C100" i="5"/>
  <c r="C62" i="5"/>
  <c r="B46" i="6"/>
  <c r="B187" i="14" s="1"/>
  <c r="B186" i="14"/>
  <c r="B185" i="14"/>
  <c r="B37" i="6"/>
  <c r="B180" i="14"/>
  <c r="B179" i="14"/>
  <c r="C118" i="3"/>
  <c r="B31" i="12" s="1"/>
  <c r="C168" i="14" l="1"/>
  <c r="B266" i="3"/>
  <c r="B103" i="4"/>
  <c r="B16" i="7"/>
  <c r="BJ11" i="17"/>
  <c r="C130" i="14"/>
  <c r="C162" i="14"/>
  <c r="B262" i="14"/>
  <c r="B269" i="3"/>
  <c r="B106" i="4"/>
  <c r="B40" i="7"/>
  <c r="J12" i="17"/>
  <c r="B263" i="14"/>
  <c r="B268" i="3"/>
  <c r="B105" i="4"/>
  <c r="B39" i="7"/>
  <c r="D12" i="17"/>
  <c r="B26" i="12"/>
  <c r="C155" i="14"/>
  <c r="C136" i="14"/>
  <c r="C143" i="14"/>
  <c r="B14" i="5"/>
  <c r="B107" i="3" l="1"/>
  <c r="B41" i="7"/>
  <c r="B90" i="14"/>
  <c r="B43" i="7"/>
  <c r="B208" i="14"/>
  <c r="B284" i="3"/>
  <c r="B105" i="3"/>
  <c r="B88" i="14"/>
  <c r="B17" i="7"/>
  <c r="B22" i="4"/>
  <c r="B22" i="5"/>
  <c r="B40" i="4"/>
  <c r="B270" i="3"/>
  <c r="B207" i="14"/>
  <c r="B283" i="3"/>
  <c r="B108" i="3"/>
  <c r="B91" i="14"/>
  <c r="B44" i="7"/>
  <c r="B205" i="14"/>
  <c r="B281" i="3"/>
  <c r="B271" i="3"/>
  <c r="B21" i="4"/>
  <c r="B21" i="5"/>
  <c r="B107" i="4"/>
  <c r="B108" i="4" s="1"/>
  <c r="B36" i="4" s="1"/>
  <c r="C247" i="14" s="1"/>
  <c r="B39" i="4"/>
  <c r="B19" i="4"/>
  <c r="B19" i="5"/>
  <c r="B37" i="4"/>
  <c r="B285" i="3" l="1"/>
  <c r="E45" i="12" s="1"/>
  <c r="C299" i="3"/>
  <c r="B270" i="14"/>
  <c r="C256" i="14" s="1"/>
  <c r="B182" i="3"/>
  <c r="B16" i="8"/>
  <c r="B120" i="3"/>
  <c r="B45" i="7"/>
  <c r="C27" i="7"/>
  <c r="B105" i="14"/>
  <c r="B109" i="3"/>
  <c r="B110" i="3" s="1"/>
  <c r="B184" i="3"/>
  <c r="B19" i="8"/>
  <c r="B122" i="3"/>
  <c r="C28" i="7"/>
  <c r="B106" i="14"/>
  <c r="B118" i="4"/>
  <c r="B19" i="7"/>
  <c r="B41" i="4"/>
  <c r="B42" i="4" s="1"/>
  <c r="B120" i="4"/>
  <c r="B48" i="7"/>
  <c r="B269" i="14"/>
  <c r="C255" i="14" s="1"/>
  <c r="B185" i="3"/>
  <c r="B123" i="3"/>
  <c r="B117" i="4"/>
  <c r="C252" i="14"/>
  <c r="C250" i="14"/>
  <c r="B267" i="14"/>
  <c r="C253" i="14" s="1"/>
  <c r="B23" i="5"/>
  <c r="B24" i="5" s="1"/>
  <c r="E40" i="12"/>
  <c r="C297" i="3"/>
  <c r="C221" i="3" s="1"/>
  <c r="B209" i="14"/>
  <c r="B210" i="14" s="1"/>
  <c r="B121" i="4"/>
  <c r="B49" i="7"/>
  <c r="C13" i="7"/>
  <c r="B103" i="14"/>
  <c r="C300" i="3"/>
  <c r="C224" i="3" s="1"/>
  <c r="B92" i="14"/>
  <c r="B93" i="14" s="1"/>
  <c r="C246" i="14"/>
  <c r="C257" i="14" l="1"/>
  <c r="B193" i="14"/>
  <c r="B22" i="8" s="1"/>
  <c r="B27" i="9"/>
  <c r="B280" i="3"/>
  <c r="C61" i="4"/>
  <c r="C57" i="4"/>
  <c r="C63" i="3"/>
  <c r="C58" i="4"/>
  <c r="C29" i="7"/>
  <c r="C35" i="7"/>
  <c r="C45" i="14"/>
  <c r="B197" i="3"/>
  <c r="B300" i="14"/>
  <c r="C251" i="14"/>
  <c r="B200" i="3"/>
  <c r="C60" i="4"/>
  <c r="B122" i="4"/>
  <c r="B123" i="4" s="1"/>
  <c r="C36" i="7"/>
  <c r="C46" i="14"/>
  <c r="B107" i="14"/>
  <c r="B108" i="14" s="1"/>
  <c r="C60" i="3"/>
  <c r="B40" i="12"/>
  <c r="C301" i="3"/>
  <c r="B50" i="7"/>
  <c r="B299" i="14"/>
  <c r="B297" i="14"/>
  <c r="C223" i="3"/>
  <c r="C15" i="7"/>
  <c r="C43" i="14"/>
  <c r="C248" i="14"/>
  <c r="C302" i="3"/>
  <c r="B124" i="3"/>
  <c r="B45" i="12" s="1"/>
  <c r="C62" i="3"/>
  <c r="B186" i="3"/>
  <c r="B187" i="3" s="1"/>
  <c r="B199" i="3"/>
  <c r="B125" i="3" l="1"/>
  <c r="C73" i="14"/>
  <c r="B43" i="9"/>
  <c r="B28" i="9" s="1"/>
  <c r="B201" i="3"/>
  <c r="C139" i="3"/>
  <c r="B301" i="14"/>
  <c r="B302" i="14" s="1"/>
  <c r="C137" i="3"/>
  <c r="B202" i="3"/>
  <c r="C37" i="7"/>
  <c r="C75" i="14"/>
  <c r="C88" i="4"/>
  <c r="C91" i="4"/>
  <c r="C220" i="3"/>
  <c r="E35" i="12"/>
  <c r="B286" i="3"/>
  <c r="C19" i="12" s="1"/>
  <c r="C76" i="14"/>
  <c r="C140" i="3"/>
  <c r="C47" i="14"/>
  <c r="C48" i="14" s="1"/>
  <c r="C64" i="3"/>
  <c r="C65" i="3" s="1"/>
  <c r="C258" i="14"/>
  <c r="C225" i="3"/>
  <c r="C62" i="4"/>
  <c r="C25" i="14" s="1"/>
  <c r="C90" i="4"/>
  <c r="B56" i="12"/>
  <c r="B194" i="14"/>
  <c r="B44" i="9" l="1"/>
  <c r="B31" i="9" s="1"/>
  <c r="C72" i="4"/>
  <c r="C18" i="6"/>
  <c r="C29" i="14"/>
  <c r="C28" i="14"/>
  <c r="C30" i="14" s="1"/>
  <c r="E17" i="13" s="1"/>
  <c r="C17" i="13"/>
  <c r="C23" i="14"/>
  <c r="C26" i="14"/>
  <c r="D17" i="13" s="1"/>
  <c r="C92" i="4"/>
  <c r="C250" i="3"/>
  <c r="C226" i="3"/>
  <c r="C141" i="3"/>
  <c r="C142" i="3"/>
  <c r="B63" i="12"/>
  <c r="A2" i="16"/>
  <c r="C63" i="4"/>
  <c r="C77" i="14"/>
  <c r="C78" i="14" s="1"/>
  <c r="B45" i="9" l="1"/>
  <c r="B47" i="9"/>
  <c r="B33" i="9" s="1"/>
  <c r="B64" i="12"/>
  <c r="B65" i="12" s="1"/>
  <c r="B2" i="16"/>
  <c r="C18" i="4"/>
  <c r="C87" i="4"/>
  <c r="C265" i="3"/>
  <c r="C17" i="6"/>
  <c r="AD12" i="17" s="1"/>
  <c r="C24" i="14"/>
  <c r="B17" i="13" s="1"/>
  <c r="A19" i="13" s="1"/>
  <c r="C31" i="14" s="1"/>
  <c r="C70" i="4"/>
  <c r="C96" i="2"/>
  <c r="C97" i="2"/>
  <c r="AJ12" i="17"/>
  <c r="C19" i="6"/>
  <c r="B49" i="9" l="1"/>
  <c r="B278" i="14" s="1"/>
  <c r="B50" i="9"/>
  <c r="B52" i="9"/>
  <c r="B53" i="9"/>
  <c r="AP12" i="17"/>
  <c r="C236" i="3"/>
  <c r="C71" i="4"/>
  <c r="C78" i="4" s="1"/>
  <c r="C85" i="4"/>
  <c r="C22" i="6"/>
  <c r="BF10" i="17"/>
  <c r="C239" i="3"/>
  <c r="C204" i="14"/>
  <c r="B67" i="12"/>
  <c r="B68" i="12" s="1"/>
  <c r="B48" i="9"/>
  <c r="C2" i="16"/>
  <c r="C266" i="14"/>
  <c r="C21" i="6"/>
  <c r="AZ10" i="17"/>
  <c r="C238" i="3"/>
  <c r="C102" i="4"/>
  <c r="C240" i="3" l="1"/>
  <c r="C241" i="3" s="1"/>
  <c r="C77" i="3"/>
  <c r="C223" i="14"/>
  <c r="C253" i="3"/>
  <c r="C86" i="4"/>
  <c r="C93" i="4" s="1"/>
  <c r="B69" i="12"/>
  <c r="F2" i="16"/>
  <c r="B280" i="14"/>
  <c r="B274" i="14"/>
  <c r="B275" i="14"/>
  <c r="C75" i="3"/>
  <c r="C251" i="3"/>
  <c r="C221" i="14"/>
  <c r="B70" i="12"/>
  <c r="B281" i="14"/>
  <c r="G2" i="16"/>
  <c r="B54" i="9"/>
  <c r="B55" i="9" s="1"/>
  <c r="B72" i="12"/>
  <c r="H2" i="16"/>
  <c r="B283" i="14"/>
  <c r="C18" i="5"/>
  <c r="B279" i="14"/>
  <c r="C78" i="3"/>
  <c r="C254" i="3"/>
  <c r="C224" i="14"/>
  <c r="B73" i="12"/>
  <c r="I2" i="16"/>
  <c r="B284" i="14"/>
  <c r="B74" i="12" l="1"/>
  <c r="B75" i="12" s="1"/>
  <c r="B64" i="9"/>
  <c r="B68" i="9"/>
  <c r="B69" i="9"/>
  <c r="B66" i="9"/>
  <c r="B71" i="9"/>
  <c r="B59" i="9"/>
  <c r="B61" i="9"/>
  <c r="B60" i="9"/>
  <c r="B63" i="9"/>
  <c r="C225" i="14"/>
  <c r="C226" i="14" s="1"/>
  <c r="C155" i="3"/>
  <c r="C93" i="3"/>
  <c r="C152" i="3"/>
  <c r="C90" i="3"/>
  <c r="B276" i="14"/>
  <c r="C255" i="3"/>
  <c r="C256" i="3" s="1"/>
  <c r="C79" i="3"/>
  <c r="C80" i="3" s="1"/>
  <c r="C154" i="3"/>
  <c r="C92" i="3"/>
  <c r="B65" i="9"/>
  <c r="B285" i="14"/>
  <c r="B20" i="12"/>
  <c r="C191" i="14"/>
  <c r="C192" i="14" s="1"/>
  <c r="B70" i="9"/>
  <c r="C94" i="3" l="1"/>
  <c r="C95" i="3" s="1"/>
  <c r="C170" i="3"/>
  <c r="C69" i="5"/>
  <c r="C63" i="5"/>
  <c r="C76" i="5"/>
  <c r="C156" i="3"/>
  <c r="C157" i="3" s="1"/>
  <c r="C169" i="3"/>
  <c r="C167" i="3"/>
  <c r="B286" i="14"/>
  <c r="B317" i="14" s="1"/>
  <c r="B308" i="14" l="1"/>
  <c r="C144" i="14"/>
  <c r="C47" i="5"/>
  <c r="C31" i="5" s="1"/>
  <c r="C137" i="14"/>
  <c r="C45" i="5"/>
  <c r="C29" i="5" s="1"/>
  <c r="C171" i="3"/>
  <c r="C172" i="3" s="1"/>
  <c r="B318" i="14"/>
  <c r="B310" i="14"/>
  <c r="B312" i="14"/>
  <c r="B307" i="14"/>
  <c r="B316" i="14"/>
  <c r="B306" i="14"/>
  <c r="B311" i="14"/>
  <c r="B315" i="14"/>
  <c r="B313" i="14"/>
  <c r="C131" i="14"/>
  <c r="C44" i="5"/>
  <c r="C28" i="5" s="1"/>
  <c r="C260" i="3" l="1"/>
  <c r="C82" i="14"/>
  <c r="AT11" i="17"/>
  <c r="C263" i="3"/>
  <c r="C100" i="4"/>
  <c r="C85" i="14"/>
  <c r="AZ11" i="17"/>
  <c r="C259" i="3"/>
  <c r="C81" i="14"/>
  <c r="AN11" i="17"/>
  <c r="C261" i="3" l="1"/>
  <c r="C75" i="9"/>
  <c r="C274" i="3"/>
  <c r="C86" i="14"/>
  <c r="C100" i="14"/>
  <c r="C264" i="3"/>
  <c r="C81" i="9"/>
  <c r="C278" i="3"/>
  <c r="C76" i="9"/>
  <c r="C275" i="3"/>
  <c r="C17" i="5"/>
  <c r="C16" i="5"/>
  <c r="C101" i="4"/>
  <c r="C17" i="4"/>
  <c r="C34" i="4"/>
  <c r="C83" i="14"/>
  <c r="C96" i="14"/>
  <c r="C97" i="14"/>
  <c r="C199" i="14" l="1"/>
  <c r="D291" i="3"/>
  <c r="D37" i="14"/>
  <c r="C98" i="14"/>
  <c r="D36" i="14"/>
  <c r="D40" i="14"/>
  <c r="C101" i="14"/>
  <c r="C77" i="9"/>
  <c r="C198" i="14"/>
  <c r="C82" i="9"/>
  <c r="C203" i="14"/>
  <c r="C202" i="14"/>
  <c r="C265" i="14"/>
  <c r="C279" i="3"/>
  <c r="E31" i="12" s="1"/>
  <c r="D294" i="3"/>
  <c r="C116" i="4"/>
  <c r="C115" i="4"/>
  <c r="C35" i="4"/>
  <c r="C276" i="3"/>
  <c r="D290" i="3"/>
  <c r="E26" i="12" l="1"/>
  <c r="D55" i="4"/>
  <c r="C200" i="14"/>
  <c r="D77" i="5"/>
  <c r="D145" i="14" s="1"/>
  <c r="D215" i="3"/>
  <c r="D292" i="3"/>
  <c r="D214" i="14"/>
  <c r="E290" i="3"/>
  <c r="D53" i="3"/>
  <c r="D66" i="14"/>
  <c r="D38" i="14"/>
  <c r="E36" i="14"/>
  <c r="D215" i="14"/>
  <c r="E215" i="14" s="1"/>
  <c r="E291" i="3"/>
  <c r="D54" i="3"/>
  <c r="D64" i="5"/>
  <c r="D132" i="14" s="1"/>
  <c r="D214" i="3"/>
  <c r="D218" i="3"/>
  <c r="D67" i="14"/>
  <c r="E37" i="14"/>
  <c r="D295" i="3"/>
  <c r="D218" i="14"/>
  <c r="E294" i="3"/>
  <c r="E295" i="3" s="1"/>
  <c r="D57" i="3"/>
  <c r="D41" i="14"/>
  <c r="D70" i="14"/>
  <c r="E40" i="14"/>
  <c r="E41" i="14" s="1"/>
  <c r="D70" i="5"/>
  <c r="D138" i="14" s="1"/>
  <c r="D68" i="14" l="1"/>
  <c r="E66" i="14"/>
  <c r="D56" i="4"/>
  <c r="E55" i="4"/>
  <c r="E56" i="4" s="1"/>
  <c r="D87" i="3"/>
  <c r="D58" i="3"/>
  <c r="E57" i="3"/>
  <c r="E58" i="3" s="1"/>
  <c r="D219" i="3"/>
  <c r="D248" i="3"/>
  <c r="E218" i="3"/>
  <c r="E219" i="3" s="1"/>
  <c r="C181" i="14"/>
  <c r="E38" i="14"/>
  <c r="E292" i="3"/>
  <c r="E67" i="14"/>
  <c r="D84" i="3"/>
  <c r="E54" i="3"/>
  <c r="D216" i="14"/>
  <c r="E214" i="14"/>
  <c r="D71" i="14"/>
  <c r="E70" i="14"/>
  <c r="E71" i="14" s="1"/>
  <c r="D219" i="14"/>
  <c r="E219" i="14" s="1"/>
  <c r="E218" i="14"/>
  <c r="D216" i="3"/>
  <c r="D244" i="3"/>
  <c r="E214" i="3"/>
  <c r="D55" i="3"/>
  <c r="D83" i="3"/>
  <c r="E53" i="3"/>
  <c r="E55" i="3" s="1"/>
  <c r="D245" i="3"/>
  <c r="E215" i="3"/>
  <c r="D114" i="3" l="1"/>
  <c r="E114" i="3" s="1"/>
  <c r="E84" i="3"/>
  <c r="D249" i="3"/>
  <c r="E248" i="3"/>
  <c r="E249" i="3" s="1"/>
  <c r="D117" i="3"/>
  <c r="D88" i="3"/>
  <c r="E87" i="3"/>
  <c r="E88" i="3" s="1"/>
  <c r="D85" i="3"/>
  <c r="D113" i="3"/>
  <c r="E83" i="3"/>
  <c r="E85" i="3" s="1"/>
  <c r="E216" i="14"/>
  <c r="E68" i="14"/>
  <c r="D246" i="3"/>
  <c r="E244" i="3"/>
  <c r="E245" i="3"/>
  <c r="C31" i="6"/>
  <c r="C36" i="6"/>
  <c r="C103" i="5"/>
  <c r="C30" i="6"/>
  <c r="C40" i="6"/>
  <c r="C182" i="14" s="1"/>
  <c r="C45" i="6"/>
  <c r="C97" i="5"/>
  <c r="C44" i="6"/>
  <c r="C184" i="14" s="1"/>
  <c r="C90" i="5"/>
  <c r="C96" i="4"/>
  <c r="C97" i="4"/>
  <c r="E216" i="3"/>
  <c r="C171" i="14" l="1"/>
  <c r="C52" i="5"/>
  <c r="C36" i="5" s="1"/>
  <c r="D115" i="3"/>
  <c r="E113" i="3"/>
  <c r="E115" i="3" s="1"/>
  <c r="C158" i="14"/>
  <c r="C49" i="5"/>
  <c r="C33" i="5" s="1"/>
  <c r="C165" i="14"/>
  <c r="C51" i="5"/>
  <c r="C35" i="5" s="1"/>
  <c r="C175" i="14"/>
  <c r="D118" i="3"/>
  <c r="B32" i="12" s="1"/>
  <c r="E117" i="3"/>
  <c r="E118" i="3" s="1"/>
  <c r="C98" i="4"/>
  <c r="C12" i="5"/>
  <c r="C14" i="4"/>
  <c r="C32" i="6"/>
  <c r="C177" i="14"/>
  <c r="C176" i="14"/>
  <c r="D75" i="5"/>
  <c r="D94" i="5"/>
  <c r="D100" i="5"/>
  <c r="D87" i="5"/>
  <c r="D62" i="5"/>
  <c r="D68" i="5"/>
  <c r="C13" i="5"/>
  <c r="C15" i="4"/>
  <c r="C46" i="6"/>
  <c r="C187" i="14" s="1"/>
  <c r="C186" i="14"/>
  <c r="C185" i="14"/>
  <c r="C37" i="6"/>
  <c r="C179" i="14"/>
  <c r="C180" i="14"/>
  <c r="E246" i="3"/>
  <c r="D136" i="14" l="1"/>
  <c r="D162" i="14"/>
  <c r="C14" i="5"/>
  <c r="C268" i="3"/>
  <c r="C105" i="4"/>
  <c r="C39" i="7"/>
  <c r="F12" i="17"/>
  <c r="D168" i="14"/>
  <c r="C269" i="3"/>
  <c r="C106" i="4"/>
  <c r="C40" i="7"/>
  <c r="L12" i="17"/>
  <c r="D155" i="14"/>
  <c r="C262" i="14"/>
  <c r="C266" i="3"/>
  <c r="C103" i="4"/>
  <c r="C16" i="7"/>
  <c r="BL11" i="17"/>
  <c r="B27" i="12"/>
  <c r="C263" i="14"/>
  <c r="D130" i="14"/>
  <c r="D143" i="14"/>
  <c r="C208" i="14" l="1"/>
  <c r="C284" i="3"/>
  <c r="C107" i="3"/>
  <c r="C41" i="7"/>
  <c r="C90" i="14"/>
  <c r="C43" i="7"/>
  <c r="C205" i="14"/>
  <c r="C281" i="3"/>
  <c r="C22" i="5"/>
  <c r="C22" i="4"/>
  <c r="C40" i="4"/>
  <c r="C19" i="5"/>
  <c r="C19" i="4"/>
  <c r="C37" i="4"/>
  <c r="C108" i="3"/>
  <c r="C91" i="14"/>
  <c r="C44" i="7"/>
  <c r="C270" i="3"/>
  <c r="C271" i="3" s="1"/>
  <c r="C207" i="14"/>
  <c r="C283" i="3"/>
  <c r="C105" i="3"/>
  <c r="C88" i="14"/>
  <c r="C17" i="7"/>
  <c r="C107" i="4"/>
  <c r="C108" i="4" s="1"/>
  <c r="C36" i="4" s="1"/>
  <c r="D247" i="14" s="1"/>
  <c r="C21" i="5"/>
  <c r="C21" i="4"/>
  <c r="C39" i="4"/>
  <c r="C13" i="3" l="1"/>
  <c r="E247" i="14"/>
  <c r="C209" i="14"/>
  <c r="C267" i="14"/>
  <c r="D253" i="14" s="1"/>
  <c r="C270" i="14"/>
  <c r="D256" i="14" s="1"/>
  <c r="E41" i="12"/>
  <c r="D297" i="3"/>
  <c r="D246" i="14"/>
  <c r="C285" i="3"/>
  <c r="E46" i="12" s="1"/>
  <c r="D299" i="3"/>
  <c r="D28" i="7"/>
  <c r="C106" i="14"/>
  <c r="C118" i="4"/>
  <c r="C19" i="7"/>
  <c r="C121" i="4"/>
  <c r="C49" i="7"/>
  <c r="C92" i="14"/>
  <c r="C93" i="14" s="1"/>
  <c r="C23" i="5"/>
  <c r="C24" i="5" s="1"/>
  <c r="C269" i="14"/>
  <c r="D255" i="14" s="1"/>
  <c r="D13" i="7"/>
  <c r="C103" i="14"/>
  <c r="C185" i="3"/>
  <c r="C123" i="3"/>
  <c r="D300" i="3"/>
  <c r="D224" i="3" s="1"/>
  <c r="C41" i="4"/>
  <c r="C42" i="4" s="1"/>
  <c r="C120" i="4"/>
  <c r="C48" i="7"/>
  <c r="C117" i="4"/>
  <c r="D252" i="14"/>
  <c r="D250" i="14"/>
  <c r="C182" i="3"/>
  <c r="C16" i="8"/>
  <c r="C120" i="3"/>
  <c r="C210" i="14"/>
  <c r="C45" i="7"/>
  <c r="D27" i="7"/>
  <c r="C105" i="14"/>
  <c r="C184" i="3"/>
  <c r="C109" i="3"/>
  <c r="C110" i="3" s="1"/>
  <c r="C19" i="8"/>
  <c r="C122" i="3"/>
  <c r="E224" i="3" l="1"/>
  <c r="C193" i="14"/>
  <c r="C22" i="8" s="1"/>
  <c r="C27" i="9"/>
  <c r="C280" i="3"/>
  <c r="C21" i="3"/>
  <c r="D257" i="14"/>
  <c r="E257" i="14" s="1"/>
  <c r="E255" i="14"/>
  <c r="C19" i="3"/>
  <c r="E253" i="14"/>
  <c r="C124" i="3"/>
  <c r="B46" i="12" s="1"/>
  <c r="D62" i="3"/>
  <c r="C107" i="14"/>
  <c r="C200" i="3"/>
  <c r="C300" i="14"/>
  <c r="D36" i="7"/>
  <c r="D46" i="14"/>
  <c r="E46" i="14" s="1"/>
  <c r="E28" i="7"/>
  <c r="E297" i="3"/>
  <c r="C197" i="3"/>
  <c r="C50" i="7"/>
  <c r="C299" i="14"/>
  <c r="C22" i="3"/>
  <c r="E256" i="14"/>
  <c r="D15" i="7"/>
  <c r="D43" i="14"/>
  <c r="E13" i="7"/>
  <c r="C297" i="14"/>
  <c r="D221" i="3"/>
  <c r="C186" i="3"/>
  <c r="C187" i="3" s="1"/>
  <c r="C199" i="3"/>
  <c r="D60" i="3"/>
  <c r="B41" i="12"/>
  <c r="C125" i="3"/>
  <c r="C18" i="3"/>
  <c r="E252" i="14"/>
  <c r="E300" i="3"/>
  <c r="C108" i="14"/>
  <c r="D61" i="4"/>
  <c r="D301" i="3"/>
  <c r="D302" i="3" s="1"/>
  <c r="E299" i="3"/>
  <c r="E301" i="3" s="1"/>
  <c r="C12" i="3"/>
  <c r="C14" i="3" s="1"/>
  <c r="D248" i="14"/>
  <c r="E246" i="14"/>
  <c r="D35" i="7"/>
  <c r="D45" i="14"/>
  <c r="D29" i="7"/>
  <c r="E27" i="7"/>
  <c r="C16" i="3"/>
  <c r="C17" i="3" s="1"/>
  <c r="D251" i="14"/>
  <c r="E251" i="14" s="1"/>
  <c r="E250" i="14"/>
  <c r="D57" i="4"/>
  <c r="D60" i="4"/>
  <c r="C122" i="4"/>
  <c r="C123" i="4" s="1"/>
  <c r="D63" i="3"/>
  <c r="D58" i="4"/>
  <c r="D223" i="3"/>
  <c r="E29" i="7" l="1"/>
  <c r="D47" i="14"/>
  <c r="D48" i="14" s="1"/>
  <c r="E45" i="14"/>
  <c r="E47" i="14" s="1"/>
  <c r="E43" i="14"/>
  <c r="D137" i="3"/>
  <c r="D76" i="14"/>
  <c r="E76" i="14" s="1"/>
  <c r="E36" i="7"/>
  <c r="D140" i="3"/>
  <c r="D220" i="3"/>
  <c r="E36" i="12"/>
  <c r="C286" i="3"/>
  <c r="C20" i="12" s="1"/>
  <c r="E302" i="3"/>
  <c r="D225" i="3"/>
  <c r="E223" i="3"/>
  <c r="E225" i="3" s="1"/>
  <c r="D62" i="4"/>
  <c r="D63" i="4" s="1"/>
  <c r="D90" i="4"/>
  <c r="E60" i="4"/>
  <c r="D91" i="4"/>
  <c r="E61" i="4"/>
  <c r="C23" i="3"/>
  <c r="C24" i="3" s="1"/>
  <c r="D88" i="4"/>
  <c r="E58" i="4"/>
  <c r="D25" i="14"/>
  <c r="E57" i="4"/>
  <c r="C201" i="3"/>
  <c r="C202" i="3" s="1"/>
  <c r="D139" i="3"/>
  <c r="B57" i="12"/>
  <c r="C194" i="14"/>
  <c r="E63" i="3"/>
  <c r="D37" i="7"/>
  <c r="D75" i="14"/>
  <c r="E35" i="7"/>
  <c r="E37" i="7" s="1"/>
  <c r="D258" i="14"/>
  <c r="E258" i="14" s="1"/>
  <c r="E248" i="14"/>
  <c r="E60" i="3"/>
  <c r="E221" i="3"/>
  <c r="D73" i="14"/>
  <c r="E15" i="7"/>
  <c r="C301" i="14"/>
  <c r="C302" i="14" s="1"/>
  <c r="D64" i="3"/>
  <c r="D65" i="3" s="1"/>
  <c r="E62" i="3"/>
  <c r="C43" i="9"/>
  <c r="C28" i="9" s="1"/>
  <c r="E62" i="4" l="1"/>
  <c r="E64" i="3"/>
  <c r="E65" i="3" s="1"/>
  <c r="E63" i="4"/>
  <c r="E48" i="14"/>
  <c r="C44" i="9"/>
  <c r="C31" i="9" s="1"/>
  <c r="D18" i="6"/>
  <c r="D72" i="4"/>
  <c r="C21" i="13"/>
  <c r="D28" i="14"/>
  <c r="D23" i="14"/>
  <c r="D26" i="14"/>
  <c r="D21" i="13" s="1"/>
  <c r="D29" i="14"/>
  <c r="D250" i="3"/>
  <c r="E220" i="3"/>
  <c r="E226" i="3" s="1"/>
  <c r="D226" i="3"/>
  <c r="E137" i="3"/>
  <c r="D141" i="3"/>
  <c r="D142" i="3" s="1"/>
  <c r="E139" i="3"/>
  <c r="D92" i="4"/>
  <c r="E90" i="4"/>
  <c r="E73" i="14"/>
  <c r="E88" i="4"/>
  <c r="E140" i="3"/>
  <c r="C45" i="9"/>
  <c r="C63" i="12"/>
  <c r="D77" i="14"/>
  <c r="D78" i="14" s="1"/>
  <c r="E75" i="14"/>
  <c r="E77" i="14" s="1"/>
  <c r="E91" i="4"/>
  <c r="E92" i="4" l="1"/>
  <c r="D30" i="14"/>
  <c r="E21" i="13" s="1"/>
  <c r="C47" i="9"/>
  <c r="C33" i="9" s="1"/>
  <c r="D265" i="3"/>
  <c r="E250" i="3"/>
  <c r="C64" i="12"/>
  <c r="C65" i="12" s="1"/>
  <c r="D17" i="6"/>
  <c r="AF12" i="17" s="1"/>
  <c r="D24" i="14"/>
  <c r="B21" i="13" s="1"/>
  <c r="D70" i="4"/>
  <c r="D96" i="2"/>
  <c r="D97" i="2"/>
  <c r="AL12" i="17"/>
  <c r="D19" i="6"/>
  <c r="E78" i="14"/>
  <c r="E141" i="3"/>
  <c r="E142" i="3" s="1"/>
  <c r="E72" i="4"/>
  <c r="D18" i="4"/>
  <c r="D266" i="14" s="1"/>
  <c r="D87" i="4"/>
  <c r="A23" i="13" l="1"/>
  <c r="D31" i="14" s="1"/>
  <c r="C49" i="9"/>
  <c r="C52" i="9"/>
  <c r="C53" i="9"/>
  <c r="C50" i="9"/>
  <c r="D22" i="6"/>
  <c r="BH10" i="17"/>
  <c r="D239" i="3"/>
  <c r="E265" i="3"/>
  <c r="D204" i="14"/>
  <c r="C67" i="12"/>
  <c r="C68" i="12" s="1"/>
  <c r="C48" i="9"/>
  <c r="D2" i="16"/>
  <c r="C278" i="14"/>
  <c r="D102" i="4"/>
  <c r="E87" i="4"/>
  <c r="D71" i="4"/>
  <c r="D78" i="4" s="1"/>
  <c r="E70" i="4"/>
  <c r="E71" i="4" s="1"/>
  <c r="E78" i="4" s="1"/>
  <c r="D85" i="4"/>
  <c r="AR12" i="17"/>
  <c r="D236" i="3"/>
  <c r="D21" i="6"/>
  <c r="BB10" i="17"/>
  <c r="D238" i="3"/>
  <c r="C69" i="12" l="1"/>
  <c r="C280" i="14"/>
  <c r="C274" i="14"/>
  <c r="C275" i="14"/>
  <c r="D75" i="3"/>
  <c r="E236" i="3"/>
  <c r="D221" i="14"/>
  <c r="D251" i="3"/>
  <c r="D86" i="4"/>
  <c r="D93" i="4" s="1"/>
  <c r="E85" i="4"/>
  <c r="E86" i="4" s="1"/>
  <c r="E93" i="4" s="1"/>
  <c r="D18" i="5"/>
  <c r="E18" i="5" s="1"/>
  <c r="E102" i="4"/>
  <c r="C14" i="9"/>
  <c r="E204" i="14"/>
  <c r="C54" i="9"/>
  <c r="C55" i="9" s="1"/>
  <c r="C72" i="12"/>
  <c r="C283" i="14"/>
  <c r="C73" i="12"/>
  <c r="C284" i="14"/>
  <c r="C279" i="14"/>
  <c r="B326" i="14"/>
  <c r="D77" i="3"/>
  <c r="D240" i="3"/>
  <c r="D241" i="3" s="1"/>
  <c r="E238" i="3"/>
  <c r="D223" i="14"/>
  <c r="D253" i="3"/>
  <c r="D78" i="3"/>
  <c r="E239" i="3"/>
  <c r="D224" i="14"/>
  <c r="E224" i="14" s="1"/>
  <c r="D254" i="3"/>
  <c r="C70" i="12"/>
  <c r="C281" i="14"/>
  <c r="C68" i="9" l="1"/>
  <c r="C66" i="9"/>
  <c r="C64" i="9"/>
  <c r="C74" i="12"/>
  <c r="B21" i="12"/>
  <c r="B22" i="12" s="1"/>
  <c r="D191" i="14"/>
  <c r="D192" i="14" s="1"/>
  <c r="D225" i="14"/>
  <c r="E225" i="14" s="1"/>
  <c r="E223" i="14"/>
  <c r="D79" i="3"/>
  <c r="D154" i="3"/>
  <c r="E77" i="3"/>
  <c r="D92" i="3"/>
  <c r="B332" i="14"/>
  <c r="B323" i="14"/>
  <c r="C65" i="9"/>
  <c r="D255" i="3"/>
  <c r="E253" i="3"/>
  <c r="C285" i="14"/>
  <c r="B331" i="14"/>
  <c r="E221" i="14"/>
  <c r="D226" i="14"/>
  <c r="E226" i="14" s="1"/>
  <c r="D152" i="3"/>
  <c r="D80" i="3"/>
  <c r="E75" i="3"/>
  <c r="D90" i="3"/>
  <c r="C75" i="12"/>
  <c r="E254" i="3"/>
  <c r="E251" i="3"/>
  <c r="D256" i="3"/>
  <c r="B328" i="14"/>
  <c r="E240" i="3"/>
  <c r="C69" i="9"/>
  <c r="D155" i="3"/>
  <c r="E78" i="3"/>
  <c r="D93" i="3"/>
  <c r="B329" i="14"/>
  <c r="C71" i="9"/>
  <c r="C59" i="9"/>
  <c r="C61" i="9"/>
  <c r="C60" i="9"/>
  <c r="C63" i="9"/>
  <c r="B327" i="14"/>
  <c r="C276" i="14"/>
  <c r="B322" i="14"/>
  <c r="C70" i="9"/>
  <c r="E241" i="3"/>
  <c r="B333" i="14" l="1"/>
  <c r="E79" i="3"/>
  <c r="E80" i="3" s="1"/>
  <c r="B324" i="14"/>
  <c r="C286" i="14"/>
  <c r="C317" i="14" s="1"/>
  <c r="D94" i="3"/>
  <c r="D95" i="3" s="1"/>
  <c r="E92" i="3"/>
  <c r="D63" i="5"/>
  <c r="D76" i="5"/>
  <c r="D69" i="5"/>
  <c r="E255" i="3"/>
  <c r="E256" i="3" s="1"/>
  <c r="E93" i="3"/>
  <c r="D156" i="3"/>
  <c r="D157" i="3" s="1"/>
  <c r="E154" i="3"/>
  <c r="D169" i="3"/>
  <c r="E155" i="3"/>
  <c r="D170" i="3"/>
  <c r="E90" i="3"/>
  <c r="E152" i="3"/>
  <c r="D167" i="3"/>
  <c r="B334" i="14" l="1"/>
  <c r="E94" i="3"/>
  <c r="E95" i="3" s="1"/>
  <c r="D131" i="14"/>
  <c r="D44" i="5"/>
  <c r="D28" i="5" s="1"/>
  <c r="D144" i="14"/>
  <c r="D47" i="5"/>
  <c r="D31" i="5" s="1"/>
  <c r="C318" i="14"/>
  <c r="C310" i="14"/>
  <c r="C315" i="14"/>
  <c r="C313" i="14"/>
  <c r="C316" i="14"/>
  <c r="C312" i="14"/>
  <c r="C311" i="14"/>
  <c r="C306" i="14"/>
  <c r="C307" i="14"/>
  <c r="E156" i="3"/>
  <c r="E157" i="3" s="1"/>
  <c r="D137" i="14"/>
  <c r="D45" i="5"/>
  <c r="D29" i="5" s="1"/>
  <c r="E167" i="3"/>
  <c r="E170" i="3"/>
  <c r="D171" i="3"/>
  <c r="D172" i="3" s="1"/>
  <c r="E169" i="3"/>
  <c r="C308" i="14"/>
  <c r="E171" i="3" l="1"/>
  <c r="E172" i="3" s="1"/>
  <c r="D260" i="3"/>
  <c r="D82" i="14"/>
  <c r="AV11" i="17"/>
  <c r="D259" i="3"/>
  <c r="D81" i="14"/>
  <c r="AP11" i="17"/>
  <c r="D263" i="3"/>
  <c r="D100" i="4"/>
  <c r="D85" i="14"/>
  <c r="BB11" i="17"/>
  <c r="D264" i="3" l="1"/>
  <c r="E263" i="3"/>
  <c r="E264" i="3" s="1"/>
  <c r="D81" i="9"/>
  <c r="D278" i="3"/>
  <c r="E260" i="3"/>
  <c r="D76" i="9"/>
  <c r="D275" i="3"/>
  <c r="D261" i="3"/>
  <c r="E259" i="3"/>
  <c r="E261" i="3" s="1"/>
  <c r="D75" i="9"/>
  <c r="D274" i="3"/>
  <c r="D16" i="5"/>
  <c r="E16" i="5" s="1"/>
  <c r="D101" i="4"/>
  <c r="D17" i="5"/>
  <c r="E100" i="4"/>
  <c r="D17" i="4"/>
  <c r="D265" i="14" s="1"/>
  <c r="D34" i="4"/>
  <c r="E82" i="14"/>
  <c r="D97" i="14"/>
  <c r="E97" i="14" s="1"/>
  <c r="D86" i="14"/>
  <c r="E85" i="14"/>
  <c r="E86" i="14" s="1"/>
  <c r="D100" i="14"/>
  <c r="D83" i="14"/>
  <c r="E81" i="14"/>
  <c r="D96" i="14"/>
  <c r="D115" i="4" l="1"/>
  <c r="E115" i="4" s="1"/>
  <c r="D35" i="4"/>
  <c r="D116" i="4"/>
  <c r="E34" i="4"/>
  <c r="D101" i="14"/>
  <c r="E100" i="14"/>
  <c r="E101" i="14" s="1"/>
  <c r="C8" i="9"/>
  <c r="D77" i="9"/>
  <c r="D198" i="14"/>
  <c r="E75" i="9"/>
  <c r="C9" i="9"/>
  <c r="D199" i="14"/>
  <c r="E199" i="14" s="1"/>
  <c r="E76" i="9"/>
  <c r="D98" i="14"/>
  <c r="E96" i="14"/>
  <c r="E98" i="14" s="1"/>
  <c r="D276" i="3"/>
  <c r="E274" i="3"/>
  <c r="E275" i="3"/>
  <c r="C12" i="9"/>
  <c r="C13" i="9" s="1"/>
  <c r="D82" i="9"/>
  <c r="D202" i="14"/>
  <c r="E202" i="14" s="1"/>
  <c r="D203" i="14"/>
  <c r="E81" i="9"/>
  <c r="E101" i="4"/>
  <c r="E17" i="5"/>
  <c r="D279" i="3"/>
  <c r="E32" i="12" s="1"/>
  <c r="E278" i="3"/>
  <c r="E279" i="3" s="1"/>
  <c r="E83" i="14"/>
  <c r="E35" i="4" l="1"/>
  <c r="E116" i="4"/>
  <c r="C10" i="9"/>
  <c r="E27" i="12"/>
  <c r="E82" i="9"/>
  <c r="E203" i="14"/>
  <c r="D200" i="14"/>
  <c r="E198" i="14"/>
  <c r="E200" i="14" s="1"/>
  <c r="E276" i="3"/>
  <c r="E77" i="9"/>
  <c r="D181" i="14" l="1"/>
  <c r="D103" i="5" l="1"/>
  <c r="D30" i="6"/>
  <c r="D40" i="6"/>
  <c r="D45" i="6"/>
  <c r="D97" i="5"/>
  <c r="D44" i="6"/>
  <c r="D31" i="6"/>
  <c r="D36" i="6"/>
  <c r="E181" i="14"/>
  <c r="D90" i="5"/>
  <c r="D96" i="4"/>
  <c r="D97" i="4"/>
  <c r="D171" i="14" l="1"/>
  <c r="D52" i="5"/>
  <c r="D36" i="5" s="1"/>
  <c r="D158" i="14"/>
  <c r="D49" i="5"/>
  <c r="D33" i="5" s="1"/>
  <c r="E31" i="6"/>
  <c r="D32" i="6"/>
  <c r="E176" i="14"/>
  <c r="D177" i="14"/>
  <c r="D176" i="14"/>
  <c r="D165" i="14"/>
  <c r="D51" i="5"/>
  <c r="D35" i="5" s="1"/>
  <c r="E30" i="6"/>
  <c r="E175" i="14"/>
  <c r="D175" i="14"/>
  <c r="D98" i="4"/>
  <c r="D12" i="5"/>
  <c r="E96" i="4"/>
  <c r="D14" i="4"/>
  <c r="D262" i="14" s="1"/>
  <c r="E36" i="6"/>
  <c r="D37" i="6"/>
  <c r="E179" i="14"/>
  <c r="D180" i="14"/>
  <c r="D179" i="14"/>
  <c r="E44" i="6"/>
  <c r="E184" i="14"/>
  <c r="D184" i="14"/>
  <c r="E40" i="6"/>
  <c r="D182" i="14"/>
  <c r="E182" i="14"/>
  <c r="D13" i="5"/>
  <c r="E13" i="5" s="1"/>
  <c r="E97" i="4"/>
  <c r="D15" i="4"/>
  <c r="D263" i="14" s="1"/>
  <c r="E45" i="6"/>
  <c r="D46" i="6"/>
  <c r="D187" i="14" s="1"/>
  <c r="E187" i="14" s="1"/>
  <c r="E185" i="14"/>
  <c r="D186" i="14"/>
  <c r="D185" i="14"/>
  <c r="E37" i="6" l="1"/>
  <c r="E180" i="14"/>
  <c r="E32" i="6"/>
  <c r="E177" i="14"/>
  <c r="D14" i="5"/>
  <c r="E12" i="5"/>
  <c r="E14" i="5" s="1"/>
  <c r="D269" i="3"/>
  <c r="D106" i="4"/>
  <c r="D40" i="7"/>
  <c r="N12" i="17"/>
  <c r="E46" i="6"/>
  <c r="E186" i="14"/>
  <c r="E98" i="4"/>
  <c r="D268" i="3"/>
  <c r="D105" i="4"/>
  <c r="D39" i="7"/>
  <c r="H12" i="17"/>
  <c r="D266" i="3"/>
  <c r="D103" i="4"/>
  <c r="D16" i="7"/>
  <c r="B12" i="17"/>
  <c r="D107" i="3" l="1"/>
  <c r="D41" i="7"/>
  <c r="D90" i="14"/>
  <c r="E39" i="7"/>
  <c r="D43" i="7"/>
  <c r="D105" i="3"/>
  <c r="D88" i="14"/>
  <c r="E16" i="7"/>
  <c r="D17" i="7"/>
  <c r="D22" i="5"/>
  <c r="E22" i="5" s="1"/>
  <c r="E106" i="4"/>
  <c r="D22" i="4"/>
  <c r="D270" i="14" s="1"/>
  <c r="D40" i="4"/>
  <c r="D108" i="3"/>
  <c r="D91" i="14"/>
  <c r="E91" i="14" s="1"/>
  <c r="E40" i="7"/>
  <c r="D44" i="7"/>
  <c r="E266" i="3"/>
  <c r="D205" i="14"/>
  <c r="D281" i="3"/>
  <c r="D270" i="3"/>
  <c r="D271" i="3" s="1"/>
  <c r="E268" i="3"/>
  <c r="D207" i="14"/>
  <c r="D283" i="3"/>
  <c r="D19" i="5"/>
  <c r="E19" i="5" s="1"/>
  <c r="E103" i="4"/>
  <c r="D19" i="4"/>
  <c r="D267" i="14" s="1"/>
  <c r="D37" i="4"/>
  <c r="D107" i="4"/>
  <c r="D108" i="4" s="1"/>
  <c r="D36" i="4" s="1"/>
  <c r="D21" i="5"/>
  <c r="E105" i="4"/>
  <c r="E107" i="4" s="1"/>
  <c r="D21" i="4"/>
  <c r="D269" i="14" s="1"/>
  <c r="D39" i="4"/>
  <c r="E269" i="3"/>
  <c r="D208" i="14"/>
  <c r="D284" i="3"/>
  <c r="E284" i="3" s="1"/>
  <c r="E108" i="4" l="1"/>
  <c r="D185" i="3"/>
  <c r="E108" i="3"/>
  <c r="D123" i="3"/>
  <c r="E123" i="3" s="1"/>
  <c r="D182" i="3"/>
  <c r="D16" i="8"/>
  <c r="E16" i="8" s="1"/>
  <c r="E105" i="3"/>
  <c r="D120" i="3"/>
  <c r="D92" i="14"/>
  <c r="D93" i="14" s="1"/>
  <c r="E90" i="14"/>
  <c r="E92" i="14" s="1"/>
  <c r="C15" i="9"/>
  <c r="E205" i="14"/>
  <c r="E88" i="14"/>
  <c r="E270" i="3"/>
  <c r="E271" i="3" s="1"/>
  <c r="E41" i="7"/>
  <c r="D117" i="4"/>
  <c r="E36" i="4"/>
  <c r="C17" i="9"/>
  <c r="D209" i="14"/>
  <c r="E209" i="14" s="1"/>
  <c r="E207" i="14"/>
  <c r="E42" i="12"/>
  <c r="E281" i="3"/>
  <c r="D105" i="14"/>
  <c r="D45" i="7"/>
  <c r="E43" i="7"/>
  <c r="D184" i="3"/>
  <c r="D109" i="3"/>
  <c r="D110" i="3" s="1"/>
  <c r="D19" i="8"/>
  <c r="E107" i="3"/>
  <c r="D122" i="3"/>
  <c r="D41" i="4"/>
  <c r="D42" i="4" s="1"/>
  <c r="D120" i="4"/>
  <c r="E39" i="4"/>
  <c r="D48" i="7"/>
  <c r="D23" i="5"/>
  <c r="D24" i="5" s="1"/>
  <c r="E21" i="5"/>
  <c r="E23" i="5" s="1"/>
  <c r="E24" i="5" s="1"/>
  <c r="C18" i="9"/>
  <c r="E208" i="14"/>
  <c r="D118" i="4"/>
  <c r="E118" i="4" s="1"/>
  <c r="E37" i="4"/>
  <c r="D19" i="7"/>
  <c r="D285" i="3"/>
  <c r="E47" i="12" s="1"/>
  <c r="E283" i="3"/>
  <c r="E285" i="3" s="1"/>
  <c r="D106" i="14"/>
  <c r="E106" i="14" s="1"/>
  <c r="E44" i="7"/>
  <c r="D121" i="4"/>
  <c r="E121" i="4" s="1"/>
  <c r="E40" i="4"/>
  <c r="D49" i="7"/>
  <c r="D103" i="14"/>
  <c r="E17" i="7"/>
  <c r="E93" i="14" l="1"/>
  <c r="D193" i="14"/>
  <c r="D22" i="8" s="1"/>
  <c r="D27" i="9"/>
  <c r="D280" i="3"/>
  <c r="D297" i="14"/>
  <c r="E19" i="7"/>
  <c r="D186" i="3"/>
  <c r="E184" i="3"/>
  <c r="D199" i="3"/>
  <c r="E41" i="4"/>
  <c r="E42" i="4" s="1"/>
  <c r="C19" i="9"/>
  <c r="C20" i="9" s="1"/>
  <c r="D50" i="7"/>
  <c r="D299" i="14"/>
  <c r="E48" i="7"/>
  <c r="D124" i="3"/>
  <c r="B47" i="12" s="1"/>
  <c r="E122" i="3"/>
  <c r="E124" i="3" s="1"/>
  <c r="D107" i="14"/>
  <c r="E105" i="14"/>
  <c r="E107" i="14" s="1"/>
  <c r="D210" i="14"/>
  <c r="E210" i="14" s="1"/>
  <c r="E103" i="14"/>
  <c r="D108" i="14"/>
  <c r="D187" i="3"/>
  <c r="E182" i="3"/>
  <c r="D197" i="3"/>
  <c r="E185" i="3"/>
  <c r="D200" i="3"/>
  <c r="D300" i="14"/>
  <c r="E300" i="14" s="1"/>
  <c r="E49" i="7"/>
  <c r="D122" i="4"/>
  <c r="D123" i="4" s="1"/>
  <c r="E120" i="4"/>
  <c r="E122" i="4" s="1"/>
  <c r="E109" i="3"/>
  <c r="E110" i="3" s="1"/>
  <c r="E19" i="8"/>
  <c r="E117" i="4"/>
  <c r="B42" i="12"/>
  <c r="D125" i="3"/>
  <c r="E120" i="3"/>
  <c r="E125" i="3" s="1"/>
  <c r="E45" i="7"/>
  <c r="E123" i="4" l="1"/>
  <c r="E108" i="14"/>
  <c r="B21" i="3"/>
  <c r="D201" i="3"/>
  <c r="D202" i="3" s="1"/>
  <c r="E199" i="3"/>
  <c r="E297" i="14"/>
  <c r="B58" i="12"/>
  <c r="D194" i="14"/>
  <c r="B19" i="3"/>
  <c r="E197" i="3"/>
  <c r="D301" i="14"/>
  <c r="D302" i="14" s="1"/>
  <c r="E299" i="14"/>
  <c r="E301" i="14" s="1"/>
  <c r="B8" i="9"/>
  <c r="D43" i="9"/>
  <c r="D28" i="9" s="1"/>
  <c r="E37" i="12"/>
  <c r="E280" i="3"/>
  <c r="E286" i="3" s="1"/>
  <c r="D286" i="3"/>
  <c r="C21" i="12" s="1"/>
  <c r="C22" i="12" s="1"/>
  <c r="E50" i="7"/>
  <c r="B22" i="3"/>
  <c r="E200" i="3"/>
  <c r="E186" i="3"/>
  <c r="E187" i="3" s="1"/>
  <c r="B9" i="9" l="1"/>
  <c r="D44" i="9"/>
  <c r="D31" i="9" s="1"/>
  <c r="E302" i="14"/>
  <c r="B23" i="3"/>
  <c r="B24" i="3" s="1"/>
  <c r="D8" i="9"/>
  <c r="D63" i="12"/>
  <c r="E201" i="3"/>
  <c r="E202" i="3" s="1"/>
  <c r="B12" i="9" l="1"/>
  <c r="D47" i="9"/>
  <c r="D33" i="9" s="1"/>
  <c r="B79" i="12"/>
  <c r="A4" i="16"/>
  <c r="D64" i="12"/>
  <c r="D65" i="12" s="1"/>
  <c r="D9" i="9"/>
  <c r="D45" i="9"/>
  <c r="B14" i="9" l="1"/>
  <c r="D49" i="9"/>
  <c r="D53" i="9"/>
  <c r="D50" i="9"/>
  <c r="D52" i="9"/>
  <c r="D10" i="9"/>
  <c r="B81" i="12"/>
  <c r="D12" i="9"/>
  <c r="D48" i="9"/>
  <c r="D67" i="12"/>
  <c r="D68" i="12" s="1"/>
  <c r="E2" i="16"/>
  <c r="B80" i="12"/>
  <c r="B4" i="16"/>
  <c r="D17" i="9" l="1"/>
  <c r="D54" i="9"/>
  <c r="D72" i="12"/>
  <c r="D283" i="14"/>
  <c r="D69" i="12"/>
  <c r="D14" i="9"/>
  <c r="D280" i="14"/>
  <c r="D274" i="14"/>
  <c r="D275" i="14"/>
  <c r="D73" i="12"/>
  <c r="D18" i="9"/>
  <c r="D284" i="14"/>
  <c r="B83" i="12"/>
  <c r="C4" i="16"/>
  <c r="B84" i="12"/>
  <c r="D13" i="9"/>
  <c r="D70" i="12"/>
  <c r="D15" i="9"/>
  <c r="D281" i="14"/>
  <c r="D278" i="14"/>
  <c r="D55" i="9"/>
  <c r="D68" i="9" s="1"/>
  <c r="E17" i="9" s="1"/>
  <c r="D19" i="3" l="1"/>
  <c r="C329" i="14"/>
  <c r="D329" i="14"/>
  <c r="F19" i="3"/>
  <c r="E3" i="16" s="1"/>
  <c r="B85" i="12"/>
  <c r="D4" i="16"/>
  <c r="D69" i="9"/>
  <c r="E18" i="9" s="1"/>
  <c r="D74" i="12"/>
  <c r="D75" i="12" s="1"/>
  <c r="D16" i="3"/>
  <c r="D279" i="14"/>
  <c r="C326" i="14"/>
  <c r="D326" i="14"/>
  <c r="D327" i="14" s="1"/>
  <c r="F16" i="3"/>
  <c r="C3" i="16" s="1"/>
  <c r="D18" i="3"/>
  <c r="D328" i="14"/>
  <c r="C328" i="14"/>
  <c r="F18" i="3"/>
  <c r="D3" i="16" s="1"/>
  <c r="D21" i="3"/>
  <c r="D285" i="14"/>
  <c r="C331" i="14"/>
  <c r="D331" i="14"/>
  <c r="F21" i="3"/>
  <c r="F3" i="16" s="1"/>
  <c r="B88" i="12"/>
  <c r="F4" i="16"/>
  <c r="E4" i="16"/>
  <c r="B86" i="12"/>
  <c r="B89" i="12"/>
  <c r="G4" i="16"/>
  <c r="D12" i="3"/>
  <c r="D276" i="14"/>
  <c r="C322" i="14"/>
  <c r="D322" i="14"/>
  <c r="F12" i="3"/>
  <c r="A3" i="16" s="1"/>
  <c r="D65" i="9"/>
  <c r="E14" i="9" s="1"/>
  <c r="B91" i="12"/>
  <c r="D20" i="9"/>
  <c r="D71" i="9"/>
  <c r="E20" i="9" s="1"/>
  <c r="D59" i="9"/>
  <c r="E8" i="9" s="1"/>
  <c r="D60" i="9"/>
  <c r="E9" i="9" s="1"/>
  <c r="D61" i="9"/>
  <c r="E10" i="9" s="1"/>
  <c r="D63" i="9"/>
  <c r="E12" i="9" s="1"/>
  <c r="D22" i="3"/>
  <c r="C332" i="14"/>
  <c r="D332" i="14"/>
  <c r="F22" i="3"/>
  <c r="G3" i="16" s="1"/>
  <c r="D13" i="3"/>
  <c r="C323" i="14"/>
  <c r="D323" i="14"/>
  <c r="F13" i="3"/>
  <c r="B3" i="16" s="1"/>
  <c r="D19" i="9"/>
  <c r="B90" i="12"/>
  <c r="D70" i="9"/>
  <c r="E19" i="9" s="1"/>
  <c r="D64" i="9"/>
  <c r="E13" i="9" s="1"/>
  <c r="D66" i="9"/>
  <c r="E15" i="9" s="1"/>
  <c r="D333" i="14" l="1"/>
  <c r="D324" i="14"/>
  <c r="C333" i="14"/>
  <c r="B40" i="3"/>
  <c r="C40" i="3"/>
  <c r="D1" i="16"/>
  <c r="B101" i="12"/>
  <c r="B96" i="12"/>
  <c r="B1" i="16"/>
  <c r="B104" i="12"/>
  <c r="F1" i="16"/>
  <c r="C327" i="14"/>
  <c r="B36" i="3" s="1"/>
  <c r="B35" i="3"/>
  <c r="C35" i="3"/>
  <c r="C36" i="3" s="1"/>
  <c r="B102" i="12"/>
  <c r="E1" i="16"/>
  <c r="C324" i="14"/>
  <c r="B31" i="3"/>
  <c r="C31" i="3"/>
  <c r="D14" i="3"/>
  <c r="B97" i="12"/>
  <c r="D286" i="14"/>
  <c r="D308" i="14" s="1"/>
  <c r="E14" i="3" s="1"/>
  <c r="F14" i="3"/>
  <c r="D23" i="3"/>
  <c r="B106" i="12"/>
  <c r="F23" i="3"/>
  <c r="B99" i="12"/>
  <c r="C1" i="16"/>
  <c r="C32" i="3"/>
  <c r="B32" i="3"/>
  <c r="C41" i="3"/>
  <c r="B41" i="3"/>
  <c r="B95" i="12"/>
  <c r="A1" i="16"/>
  <c r="AF8" i="17" s="1"/>
  <c r="B105" i="12"/>
  <c r="G1" i="16"/>
  <c r="C37" i="3"/>
  <c r="B37" i="3"/>
  <c r="D17" i="3"/>
  <c r="B100" i="12"/>
  <c r="F17" i="3"/>
  <c r="C38" i="3"/>
  <c r="B38" i="3"/>
  <c r="D334" i="14" l="1"/>
  <c r="B42" i="3"/>
  <c r="D311" i="14"/>
  <c r="E17" i="3" s="1"/>
  <c r="D317" i="14"/>
  <c r="E23" i="3" s="1"/>
  <c r="C33" i="3"/>
  <c r="C334" i="14"/>
  <c r="B33" i="3"/>
  <c r="C42" i="3"/>
  <c r="D24" i="3"/>
  <c r="B107" i="12"/>
  <c r="D318" i="14"/>
  <c r="E24" i="3" s="1"/>
  <c r="F24" i="3"/>
  <c r="D315" i="14"/>
  <c r="E21" i="3" s="1"/>
  <c r="D306" i="14"/>
  <c r="E12" i="3" s="1"/>
  <c r="D313" i="14"/>
  <c r="E19" i="3" s="1"/>
  <c r="D307" i="14"/>
  <c r="E13" i="3" s="1"/>
  <c r="D312" i="14"/>
  <c r="E18" i="3" s="1"/>
  <c r="D310" i="14"/>
  <c r="E16" i="3" s="1"/>
  <c r="D316" i="14"/>
  <c r="E22" i="3" s="1"/>
  <c r="B43" i="3" l="1"/>
  <c r="C43" i="3"/>
</calcChain>
</file>

<file path=xl/comments1.xml><?xml version="1.0" encoding="utf-8"?>
<comments xmlns="http://schemas.openxmlformats.org/spreadsheetml/2006/main">
  <authors>
    <author>VISTA$</author>
  </authors>
  <commentList>
    <comment ref="A8" authorId="0" shapeId="0">
      <text>
        <r>
          <rPr>
            <b/>
            <sz val="8"/>
            <rFont val="Arial"/>
            <family val="2"/>
          </rPr>
          <t>Name of the company
(variable Company_Name)</t>
        </r>
      </text>
    </comment>
    <comment ref="A14" authorId="0" shapeId="0">
      <text>
        <r>
          <rPr>
            <b/>
            <sz val="8"/>
            <rFont val="Arial"/>
            <family val="2"/>
          </rPr>
          <t>Date of each investment round
(variable Event_Date_Sc0)</t>
        </r>
      </text>
    </comment>
    <comment ref="B22" authorId="0" shape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C22" authorId="0" shapeId="0">
      <text>
        <r>
          <rPr>
            <b/>
            <sz val="8"/>
            <rFont val="Arial"/>
            <family val="2"/>
          </rPr>
          <t>The multiple of new investment that is added to
liquidation preference for each class of security,
in each investment round
(variable Liq_Multiple)</t>
        </r>
      </text>
    </comment>
    <comment ref="D22" authorId="0" shapeId="0">
      <text>
        <r>
          <rPr>
            <b/>
            <sz val="8"/>
            <rFont val="Arial"/>
            <family val="2"/>
          </rPr>
          <t>Dividend rate for preferred stock, and interest
rate paid on convertible notes before conversion
(variable Dividend_pct_Yr)</t>
        </r>
      </text>
    </comment>
    <comment ref="B27" authorId="0" shape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C27" authorId="0" shape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D27" authorId="0" shape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E27" authorId="0" shape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B32" authorId="0" shapeId="0">
      <text>
        <r>
          <rPr>
            <b/>
            <sz val="8"/>
            <rFont val="Arial"/>
            <family val="2"/>
          </rPr>
          <t>Annualized discount rates used in computation of
present values of investor cash flows
(variable Discount_Rate_Yr)</t>
        </r>
      </text>
    </comment>
    <comment ref="C32" authorId="0" shapeId="0">
      <text>
        <r>
          <rPr>
            <b/>
            <sz val="8"/>
            <rFont val="Arial"/>
            <family val="2"/>
          </rPr>
          <t>Initial guess at internal rate of return of the
cash flow for holders of each series and type of
security, to start the iterative solution for the
IRR
(variable IRR_Initial_Guess_Yr)</t>
        </r>
      </text>
    </comment>
    <comment ref="A37" authorId="0" shape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49" authorId="0" shape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B52" authorId="0" shapeId="0">
      <text>
        <r>
          <rPr>
            <b/>
            <sz val="8"/>
            <rFont val="Arial"/>
            <family val="2"/>
          </rPr>
          <t>The multiple of new investment that is added to
liquidation preference for each class of security,
in each investment round
(variable Liq_Multiple)</t>
        </r>
      </text>
    </comment>
    <comment ref="C52" authorId="0" shapeId="0">
      <text>
        <r>
          <rPr>
            <b/>
            <sz val="8"/>
            <rFont val="Arial"/>
            <family val="2"/>
          </rPr>
          <t>Dividend rate for preferred stock, and interest
rate paid on convertible notes before conversion
(variable Dividend_pct_Yr)</t>
        </r>
      </text>
    </comment>
    <comment ref="B56" authorId="0" shape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C56" authorId="0" shape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D56" authorId="0" shape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E56" authorId="0" shape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B60" authorId="0" shapeId="0">
      <text>
        <r>
          <rPr>
            <b/>
            <sz val="8"/>
            <rFont val="Arial"/>
            <family val="2"/>
          </rPr>
          <t>Annualized discount rates used in computation of
present values of investor cash flows
(variable Discount_Rate_Yr)</t>
        </r>
      </text>
    </comment>
    <comment ref="C60" authorId="0" shapeId="0">
      <text>
        <r>
          <rPr>
            <b/>
            <sz val="8"/>
            <rFont val="Arial"/>
            <family val="2"/>
          </rPr>
          <t>Initial guess at internal rate of return of the
cash flow for holders of each series and type of
security, to start the iterative solution for the
IRR
(variable IRR_Initial_Guess_Yr)</t>
        </r>
      </text>
    </comment>
    <comment ref="A64" authorId="0" shape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71" authorId="0" shapeId="0">
      <text>
        <r>
          <rPr>
            <b/>
            <sz val="8"/>
            <rFont val="Arial"/>
            <family val="2"/>
          </rPr>
          <t>Initial common share price at the start of the
seed round
(variable Price_Common_Init)</t>
        </r>
      </text>
    </comment>
    <comment ref="A74" authorId="0" shapeId="0">
      <text>
        <r>
          <rPr>
            <b/>
            <sz val="8"/>
            <rFont val="Arial"/>
            <family val="2"/>
          </rPr>
          <t>Factor by which common shares are split before the
start of each investment round
(variable Split_Factor_Start)</t>
        </r>
      </text>
    </comment>
    <comment ref="A76" authorId="0" shapeId="0">
      <text>
        <r>
          <rPr>
            <b/>
            <sz val="8"/>
            <rFont val="Arial"/>
            <family val="2"/>
          </rPr>
          <t>Dividend paid on common stock, paid at the
beginning of each investment round
(variable Dividend_Common)</t>
        </r>
      </text>
    </comment>
    <comment ref="B79" authorId="0" shapeId="0">
      <text>
        <r>
          <rPr>
            <b/>
            <sz val="8"/>
            <rFont val="Arial"/>
            <family val="2"/>
          </rPr>
          <t>Annualized discount rates used in computation of
present values of investor cash flows
(variable Discount_Rate_Yr)</t>
        </r>
      </text>
    </comment>
    <comment ref="C79" authorId="0" shapeId="0">
      <text>
        <r>
          <rPr>
            <b/>
            <sz val="8"/>
            <rFont val="Arial"/>
            <family val="2"/>
          </rPr>
          <t>Initial guess at internal rate of return of the
cash flow for holders of each series and type of
security, to start the iterative solution for the
IRR
(variable IRR_Initial_Guess_Yr)</t>
        </r>
      </text>
    </comment>
    <comment ref="A83" authorId="0" shape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90" authorId="0" shapeId="0">
      <text>
        <r>
          <rPr>
            <b/>
            <sz val="8"/>
            <rFont val="Arial"/>
            <family val="2"/>
          </rPr>
          <t>Ratio (price at which new units are purchased) /
(common share price - exercise price).
(variable Price_Unit_New_pct)</t>
        </r>
      </text>
    </comment>
    <comment ref="A95" authorId="0" shapeId="0">
      <text>
        <r>
          <rPr>
            <b/>
            <sz val="8"/>
            <rFont val="Arial"/>
            <family val="2"/>
          </rPr>
          <t>Price at which new warrants and options are
purchased. Warrant and option prices are based on
current stock price, ignoring the variance of
stock price over time.
(variable Price_Unit_New)</t>
        </r>
      </text>
    </comment>
    <comment ref="B100" authorId="0" shape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C100" authorId="0" shape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D100" authorId="0" shape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E100" authorId="0" shape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B106" authorId="0" shapeId="0">
      <text>
        <r>
          <rPr>
            <b/>
            <sz val="8"/>
            <rFont val="Arial"/>
            <family val="2"/>
          </rPr>
          <t>Annualized discount rates used in computation of
present values of investor cash flows
(variable Discount_Rate_Yr)</t>
        </r>
      </text>
    </comment>
    <comment ref="C106" authorId="0" shapeId="0">
      <text>
        <r>
          <rPr>
            <b/>
            <sz val="8"/>
            <rFont val="Arial"/>
            <family val="2"/>
          </rPr>
          <t>Initial guess at internal rate of return of the
cash flow for holders of each series and type of
security, to start the iterative solution for the
IRR
(variable IRR_Initial_Guess_Yr)</t>
        </r>
      </text>
    </comment>
    <comment ref="A111" authorId="0" shape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 ref="A120" authorId="0" shapeId="0">
      <text>
        <r>
          <rPr>
            <b/>
            <sz val="8"/>
            <rFont val="Arial"/>
            <family val="2"/>
          </rPr>
          <t>Valuation of the firm at the start of each
investment round
(variable Firm_Value_Start_Sc0)</t>
        </r>
      </text>
    </comment>
  </commentList>
</comments>
</file>

<file path=xl/comments2.xml><?xml version="1.0" encoding="utf-8"?>
<comments xmlns="http://schemas.openxmlformats.org/spreadsheetml/2006/main">
  <authors>
    <author>VISTA$</author>
  </authors>
  <commentList>
    <comment ref="B10" authorId="0" shapeId="0">
      <text>
        <r>
          <rPr>
            <b/>
            <sz val="8"/>
            <rFont val="Arial"/>
            <family val="2"/>
          </rPr>
          <t>Gross investment including value of converted
securities, and excluding preferred dividends and
interest payments on notes, segmented by type of
security, by investment round
(variable Invest_by_Origin_exDiv_LastRnd)</t>
        </r>
      </text>
    </comment>
    <comment ref="C10" authorId="0" shapeId="0">
      <text>
        <r>
          <rPr>
            <b/>
            <sz val="8"/>
            <rFont val="Arial"/>
            <family val="2"/>
          </rPr>
          <t>Dividend in kind for convertible notes (before
conversion), preferred stock (before conversion),
and common stock, paid at start of lsat investment
round. The dividends are segmented by the original
type and series of security whose purchase earned
the dividend (not by the current type and series
of security that earned the dividend).
(variable Dividend_by_Origin_Last)</t>
        </r>
      </text>
    </comment>
    <comment ref="D10" authorId="0" shapeId="0">
      <text>
        <r>
          <rPr>
            <b/>
            <sz val="8"/>
            <rFont val="Arial"/>
            <family val="2"/>
          </rPr>
          <t>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Payout_by_Origin_Last)</t>
        </r>
      </text>
    </comment>
    <comment ref="E10" authorId="0" shapeId="0">
      <text>
        <r>
          <rPr>
            <b/>
            <sz val="8"/>
            <rFont val="Arial"/>
            <family val="2"/>
          </rPr>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Payout_by_Origin_pct_LastRnd)</t>
        </r>
      </text>
    </comment>
    <comment ref="F10" authorId="0" shapeId="0">
      <text>
        <r>
          <rPr>
            <b/>
            <sz val="8"/>
            <rFont val="Arial"/>
            <family val="2"/>
          </rPr>
          <t>The multiple of investment (ex-dividends) that
each type of security gets. This is a straight
multiple with no discounting for the time value of
money. The value of founders' noncash
contributions are included as investments in this
computation.
(variable Return_Multiple)</t>
        </r>
      </text>
    </comment>
    <comment ref="B29" authorId="0" shapeId="0">
      <text>
        <r>
          <rPr>
            <b/>
            <sz val="8"/>
            <rFont val="Arial"/>
            <family val="2"/>
          </rPr>
          <t>Internal rate of return of cash flow to holders of
each series and type of security. Includes new
investments, exercise payments (for warrants and
options) and final payout at the end of the last
investment round.
(variable IRR_XIRR_Yr)</t>
        </r>
      </text>
    </comment>
    <comment ref="C29" authorId="0" shapeId="0">
      <text>
        <r>
          <rPr>
            <b/>
            <sz val="8"/>
            <rFont val="Arial"/>
            <family val="2"/>
          </rPr>
          <t>Net present value of cash flows to each series of
each type of security. Each series and type of
security can have its own discount rate to reflect
different risks.
(variable Net_Present_Value_XNPV)</t>
        </r>
      </text>
    </comment>
    <comment ref="D29" authorId="0" shapeId="0">
      <text>
        <r>
          <rPr>
            <b/>
            <sz val="8"/>
            <rFont val="Arial"/>
            <family val="2"/>
          </rPr>
          <t>Annualized discount rates used in computation of
present values of investor cash flows
(variable Discount_Rate_Yr)</t>
        </r>
      </text>
    </comment>
    <comment ref="A50" authorId="0" shape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127" authorId="0" shapeId="0">
      <text>
        <r>
          <rPr>
            <b/>
            <sz val="8"/>
            <rFont val="Arial"/>
            <family val="2"/>
          </rPr>
          <t>Gross investment including value of converted
securities, and excluding preferred dividends and
interest payments on notes, segmented by type of
security, by investment round
(variable Invest_by_Origin_exDiv)</t>
        </r>
      </text>
    </comment>
    <comment ref="A209" authorId="0" shapeId="0">
      <text>
        <r>
          <rPr>
            <b/>
            <sz val="8"/>
            <rFont val="Arial"/>
            <family val="2"/>
          </rPr>
          <t>Date of each investment round, determined by
investment scenario selected
(variable Event_Date)</t>
        </r>
      </text>
    </comment>
    <comment ref="A211" authorId="0" shapeId="0">
      <text>
        <r>
          <rPr>
            <b/>
            <sz val="8"/>
            <rFont val="Arial"/>
            <family val="2"/>
          </rPr>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
(variable Investment_Net)</t>
        </r>
      </text>
    </comment>
    <comment ref="A288" authorId="0" shapeId="0">
      <text>
        <r>
          <rPr>
            <b/>
            <sz val="8"/>
            <rFont val="Arial"/>
            <family val="2"/>
          </rPr>
          <t>Dividend in kind for convertible notes (before
conversion), preferred stock (before conversion),
and common stock, paid at start of each investment
round</t>
        </r>
      </text>
    </comment>
  </commentList>
</comments>
</file>

<file path=xl/comments3.xml><?xml version="1.0" encoding="utf-8"?>
<comments xmlns="http://schemas.openxmlformats.org/spreadsheetml/2006/main">
  <authors>
    <author>VISTA$</author>
  </authors>
  <commentList>
    <comment ref="A7" authorId="0" shapeId="0">
      <text>
        <r>
          <rPr>
            <b/>
            <sz val="8"/>
            <rFont val="Arial"/>
            <family val="2"/>
          </rPr>
          <t>Date of each investment round, determined by
investment scenario selected
(variable Event_Date)</t>
        </r>
      </text>
    </comment>
    <comment ref="A12" authorId="0" shape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A28" authorId="0" shape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A48" authorId="0" shape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List>
</comments>
</file>

<file path=xl/comments4.xml><?xml version="1.0" encoding="utf-8"?>
<comments xmlns="http://schemas.openxmlformats.org/spreadsheetml/2006/main">
  <authors>
    <author>VISTA$</author>
  </authors>
  <commentList>
    <comment ref="A7" authorId="0" shapeId="0">
      <text>
        <r>
          <rPr>
            <b/>
            <sz val="8"/>
            <rFont val="Arial"/>
            <family val="2"/>
          </rPr>
          <t>Date of each investment round, determined by
investment scenario selected
(variable Event_Date)</t>
        </r>
      </text>
    </comment>
    <comment ref="A10" authorId="0" shape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A26" authorId="0" shapeId="0">
      <text>
        <r>
          <rPr>
            <b/>
            <sz val="8"/>
            <rFont val="Arial"/>
            <family val="2"/>
          </rPr>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
(variable Converting_pct)</t>
        </r>
      </text>
    </comment>
    <comment ref="A42" authorId="0" shapeId="0">
      <text>
        <r>
          <rPr>
            <b/>
            <sz val="8"/>
            <rFont val="Arial"/>
            <family val="2"/>
          </rPr>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
(variable Conversion_Decisions_Default)</t>
        </r>
      </text>
    </comment>
    <comment ref="A58" authorId="0" shape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List>
</comments>
</file>

<file path=xl/comments5.xml><?xml version="1.0" encoding="utf-8"?>
<comments xmlns="http://schemas.openxmlformats.org/spreadsheetml/2006/main">
  <authors>
    <author>VISTA$</author>
  </authors>
  <commentList>
    <comment ref="A7" authorId="0" shapeId="0">
      <text>
        <r>
          <rPr>
            <b/>
            <sz val="8"/>
            <rFont val="Arial"/>
            <family val="2"/>
          </rPr>
          <t>Date of each investment round, determined by
investment scenario selected
(variable Event_Date)</t>
        </r>
      </text>
    </comment>
    <comment ref="A12" authorId="0" shapeId="0">
      <text>
        <r>
          <rPr>
            <b/>
            <sz val="8"/>
            <rFont val="Arial"/>
            <family val="2"/>
          </rPr>
          <t>Price at which new warrants and options are
purchased. Warrant and option prices are based on
current stock price, ignoring the variance of
stock price over time.
(variable Price_Unit_New)</t>
        </r>
      </text>
    </comment>
    <comment ref="A29"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35"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40"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43"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List>
</comments>
</file>

<file path=xl/comments6.xml><?xml version="1.0" encoding="utf-8"?>
<comments xmlns="http://schemas.openxmlformats.org/spreadsheetml/2006/main">
  <authors>
    <author>VISTA$</author>
  </authors>
  <commentList>
    <comment ref="A7" authorId="0" shapeId="0">
      <text>
        <r>
          <rPr>
            <b/>
            <sz val="8"/>
            <rFont val="Arial"/>
            <family val="2"/>
          </rPr>
          <t>Date of each investment round, determined by
investment scenario selected
(variable Event_Date)</t>
        </r>
      </text>
    </comment>
    <comment ref="A12" authorId="0" shape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19" authorId="0" shapeId="0">
      <text>
        <r>
          <rPr>
            <b/>
            <sz val="8"/>
            <rFont val="Arial"/>
            <family val="2"/>
          </rPr>
          <t>Number of unexercised warrants and options that
are in the money in phase End, for each investment
round. Used in variable Payout in denominators of
formulas.
(variable OptionWar_in_Money)</t>
        </r>
      </text>
    </comment>
    <comment ref="A25" authorId="0" shape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47" authorId="0" shapeId="0">
      <text>
        <r>
          <rPr>
            <b/>
            <sz val="8"/>
            <rFont val="Arial"/>
            <family val="2"/>
          </rPr>
          <t>Number of unexercised warrants and options that
are in the money in phase End, for each investment
round. Used in variable Payout in denominators of
formulas.
(variable OptionWar_in_Money)</t>
        </r>
      </text>
    </comment>
  </commentList>
</comments>
</file>

<file path=xl/comments7.xml><?xml version="1.0" encoding="utf-8"?>
<comments xmlns="http://schemas.openxmlformats.org/spreadsheetml/2006/main">
  <authors>
    <author>VISTA$</author>
  </authors>
  <commentList>
    <comment ref="A7" authorId="0" shapeId="0">
      <text>
        <r>
          <rPr>
            <b/>
            <sz val="8"/>
            <rFont val="Arial"/>
            <family val="2"/>
          </rPr>
          <t>Date of each investment round, determined by
investment scenario selected
(variable Event_Date)</t>
        </r>
      </text>
    </comment>
    <comment ref="A10" authorId="0" shape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A13" authorId="0" shape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A16" authorId="0" shape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19" authorId="0" shape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22" authorId="0" shape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List>
</comments>
</file>

<file path=xl/comments8.xml><?xml version="1.0" encoding="utf-8"?>
<comments xmlns="http://schemas.openxmlformats.org/spreadsheetml/2006/main">
  <authors>
    <author>VISTA$</author>
  </authors>
  <commentList>
    <comment ref="B6" authorId="0" shapeId="0">
      <text>
        <r>
          <rPr>
            <b/>
            <sz val="8"/>
            <rFont val="Arial"/>
            <family val="2"/>
          </rPr>
          <t>The amount of funds available for payout to each
type of security at phase End (after conversion of
notes and exercise of warrants and options) of the
last investment round. The common payout pool
covers common shares, including exercised warrants
and options.
(variable Payout_Pool_EndLast)</t>
        </r>
      </text>
    </comment>
    <comment ref="C6" authorId="0" shapeId="0">
      <text>
        <r>
          <rPr>
            <b/>
            <sz val="8"/>
            <rFont val="Arial"/>
            <family val="2"/>
          </rPr>
          <t>The amount of liquidiation preference that is due
to each class of security (before anything is paid
to holders of junior securities, in the event of
liquidiation), at the last phase (End) of  the
last round
(variable Liq_Preference_EndLast)</t>
        </r>
      </text>
    </comment>
    <comment ref="D6" authorId="0" shapeId="0">
      <text>
        <r>
          <rPr>
            <b/>
            <sz val="8"/>
            <rFont val="Arial"/>
            <family val="2"/>
          </rPr>
          <t>The amount of funds that would be paid to each
type of security if liquidation occurs at the end
of the last investment round. Warrants and options
are exercised if they are in the money. The common
payout pool covers common shares, including
exercised warrants and options.
(variable Payout_EndLast)</t>
        </r>
      </text>
    </comment>
    <comment ref="E6" authorId="0" shapeId="0">
      <text>
        <r>
          <rPr>
            <b/>
            <sz val="8"/>
            <rFont val="Arial"/>
            <family val="2"/>
          </rPr>
          <t>The percentage of the entire payout that is paid
to each type of security in the final (exit) round
(variable Payout_EndLast_pct)</t>
        </r>
      </text>
    </comment>
    <comment ref="A25" authorId="0" shapeId="0">
      <text>
        <r>
          <rPr>
            <b/>
            <sz val="8"/>
            <rFont val="Arial"/>
            <family val="2"/>
          </rPr>
          <t>The amount of funds available for payout to each
type of security at phase End (after conversion of
notes and exercise of warrants and options), in
each investment round. The common payout pool
covers common shares, including exercised warrants
and options.
(variable Payout_Pool_End)</t>
        </r>
      </text>
    </comment>
    <comment ref="A41" authorId="0" shape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A57" authorId="0" shapeId="0">
      <text>
        <r>
          <rPr>
            <b/>
            <sz val="8"/>
            <rFont val="Arial"/>
            <family val="2"/>
          </rPr>
          <t>The percentage of the entire payout that is paid
to each type of security in the final (exit) round
(variable Payout_End_pct)</t>
        </r>
      </text>
    </comment>
    <comment ref="A74" authorId="0" shape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A80" authorId="0" shape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List>
</comments>
</file>

<file path=xl/comments9.xml><?xml version="1.0" encoding="utf-8"?>
<comments xmlns="http://schemas.openxmlformats.org/spreadsheetml/2006/main">
  <authors>
    <author>VISTA$</author>
  </authors>
  <commentList>
    <comment ref="B6" authorId="0" shapeId="0">
      <text>
        <r>
          <rPr>
            <b/>
            <sz val="8"/>
            <rFont val="Arial"/>
            <family val="2"/>
          </rPr>
          <t>Name of the company
(variable Company_Name)</t>
        </r>
      </text>
    </comment>
    <comment ref="B8" authorId="0" shapeId="0">
      <text>
        <r>
          <rPr>
            <b/>
            <sz val="8"/>
            <rFont val="Arial"/>
            <family val="2"/>
          </rPr>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
(variable Conversion_Decisions_Default)</t>
        </r>
      </text>
    </comment>
    <comment ref="B10" authorId="0" shape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 ref="B21" authorId="0" shape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B23" authorId="0" shape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B25" authorId="0" shape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B27" authorId="0" shape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B29" authorId="0" shapeId="0">
      <text>
        <r>
          <rPr>
            <b/>
            <sz val="8"/>
            <rFont val="Arial"/>
            <family val="2"/>
          </rPr>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
(variable Converting_pct)</t>
        </r>
      </text>
    </comment>
    <comment ref="B31" authorId="0" shape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B33" authorId="0" shapeId="0">
      <text>
        <r>
          <rPr>
            <b/>
            <sz val="8"/>
            <rFont val="Arial"/>
            <family val="2"/>
          </rPr>
          <t>Annualized discount rates used in computation of
present values of investor cash flows
(variable Discount_Rate_Yr)</t>
        </r>
      </text>
    </comment>
    <comment ref="B35" authorId="0" shapeId="0">
      <text>
        <r>
          <rPr>
            <b/>
            <sz val="8"/>
            <rFont val="Arial"/>
            <family val="2"/>
          </rPr>
          <t>Dividend in kind for convertible notes (before
conversion), preferred stock (before conversion),
and common stock, paid at start of each investment
round</t>
        </r>
      </text>
    </comment>
    <comment ref="B38" authorId="0" shapeId="0">
      <text>
        <r>
          <rPr>
            <b/>
            <sz val="8"/>
            <rFont val="Arial"/>
            <family val="2"/>
          </rPr>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
(variable Dividend_by_Origin)</t>
        </r>
      </text>
    </comment>
    <comment ref="B41" authorId="0" shapeId="0">
      <text>
        <r>
          <rPr>
            <b/>
            <sz val="8"/>
            <rFont val="Arial"/>
            <family val="2"/>
          </rPr>
          <t>Dividend in kind for convertible notes (before
conversion), preferred stock (before conversion),
and common stock, paid at start of lsat investment
round. The dividends are segmented by the original
type and series of security whose purchase earned
the dividend (not by the current type and series
of security that earned the dividend).
(variable Dividend_by_Origin_Last)</t>
        </r>
      </text>
    </comment>
    <comment ref="B43" authorId="0" shapeId="0">
      <text>
        <r>
          <rPr>
            <b/>
            <sz val="8"/>
            <rFont val="Arial"/>
            <family val="2"/>
          </rPr>
          <t>Dividend paid on common stock, paid at the
beginning of each investment round
(variable Dividend_Common)</t>
        </r>
      </text>
    </comment>
    <comment ref="B45" authorId="0" shapeId="0">
      <text>
        <r>
          <rPr>
            <b/>
            <sz val="8"/>
            <rFont val="Arial"/>
            <family val="2"/>
          </rPr>
          <t>Dividend rate for preferred stock, and interest
rate paid on convertible notes before conversion
(variable Dividend_pct_Yr)</t>
        </r>
      </text>
    </comment>
    <comment ref="B47" authorId="0" shapeId="0">
      <text>
        <r>
          <rPr>
            <b/>
            <sz val="8"/>
            <rFont val="Arial"/>
            <family val="2"/>
          </rPr>
          <t>Date of each investment round, determined by
investment scenario selected
(variable Event_Date)</t>
        </r>
      </text>
    </comment>
    <comment ref="B49" authorId="0" shapeId="0">
      <text>
        <r>
          <rPr>
            <b/>
            <sz val="8"/>
            <rFont val="Arial"/>
            <family val="2"/>
          </rPr>
          <t>Date of each investment round
(variable Event_Date_Sc0)</t>
        </r>
      </text>
    </comment>
    <comment ref="B51" authorId="0" shape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B57" authorId="0" shapeId="0">
      <text>
        <r>
          <rPr>
            <b/>
            <sz val="8"/>
            <rFont val="Arial"/>
            <family val="2"/>
          </rPr>
          <t>Firm value at End of each investment round. Used
in plotting.
(variable Firm_Value_End)</t>
        </r>
      </text>
    </comment>
    <comment ref="B59" authorId="0" shapeId="0">
      <text>
        <r>
          <rPr>
            <b/>
            <sz val="8"/>
            <rFont val="Arial"/>
            <family val="2"/>
          </rPr>
          <t>Valuation of the firm at the start of each
investment round
(variable Firm_Value_Start)</t>
        </r>
      </text>
    </comment>
    <comment ref="B61" authorId="0" shapeId="0">
      <text>
        <r>
          <rPr>
            <b/>
            <sz val="8"/>
            <rFont val="Arial"/>
            <family val="2"/>
          </rPr>
          <t>Valuation of the firm at the start of each
investment round
(variable Firm_Value_Start_Sc0)</t>
        </r>
      </text>
    </comment>
    <comment ref="B63" authorId="0" shapeId="0">
      <text>
        <r>
          <rPr>
            <b/>
            <sz val="8"/>
            <rFont val="Arial"/>
            <family val="2"/>
          </rPr>
          <t>Cumulative gross investment in common stock, for
each investment round. Includes dividends. Used
for plotting.
(variable Invest_by_Origin_Common_plt)</t>
        </r>
      </text>
    </comment>
    <comment ref="B65" authorId="0" shapeId="0">
      <text>
        <r>
          <rPr>
            <b/>
            <sz val="8"/>
            <rFont val="Arial"/>
            <family val="2"/>
          </rPr>
          <t>Cumulative gross investment in convertible notes,
for each investment round. Used for plotting.
(variable Invest_by_Origin_Conv_plt)</t>
        </r>
      </text>
    </comment>
    <comment ref="B67" authorId="0" shapeId="0">
      <text>
        <r>
          <rPr>
            <b/>
            <sz val="8"/>
            <rFont val="Arial"/>
            <family val="2"/>
          </rPr>
          <t>Gross investment including value of converted
securities, and excluding preferred dividends and
interest payments on notes, segmented by type of
security, by investment round
(variable Invest_by_Origin_exDiv)</t>
        </r>
      </text>
    </comment>
    <comment ref="B73" authorId="0" shapeId="0">
      <text>
        <r>
          <rPr>
            <b/>
            <sz val="8"/>
            <rFont val="Arial"/>
            <family val="2"/>
          </rPr>
          <t>Gross investment including value of converted
securities, and excluding preferred dividends and
interest payments on notes, segmented by type of
security, by investment round
(variable Invest_by_Origin_exDiv_LastRnd)</t>
        </r>
      </text>
    </comment>
    <comment ref="B75" authorId="0" shapeId="0">
      <text>
        <r>
          <rPr>
            <b/>
            <sz val="8"/>
            <rFont val="Arial"/>
            <family val="2"/>
          </rPr>
          <t>Cumulative gross investment in options, for each
investment round. Used for plotting.
(variable Invest_by_Origin_Opt_plt)</t>
        </r>
      </text>
    </comment>
    <comment ref="B77" authorId="0" shapeId="0">
      <text>
        <r>
          <rPr>
            <b/>
            <sz val="8"/>
            <rFont val="Arial"/>
            <family val="2"/>
          </rPr>
          <t>Cumulative gross investment in preferred stock,
for each investment round. Includes dividends.
Used for plotting.
(variable Invest_by_Origin_Preferred_plt)</t>
        </r>
      </text>
    </comment>
    <comment ref="B79" authorId="0" shapeId="0">
      <text>
        <r>
          <rPr>
            <b/>
            <sz val="8"/>
            <rFont val="Arial"/>
            <family val="2"/>
          </rPr>
          <t>Cumulative gross investment in warrants, for each
investment round. Used for plotting.
(variable Invest_by_Origin_War_plt)</t>
        </r>
      </text>
    </comment>
    <comment ref="B81" authorId="0" shapeId="0">
      <text>
        <r>
          <rPr>
            <b/>
            <sz val="8"/>
            <rFont val="Arial"/>
            <family val="2"/>
          </rPr>
          <t>Cumulative gross investment in common stock held
at the end of each investment round. Includes
dividends. Used for plotting.
(variable Invest_End_Common_plt)</t>
        </r>
      </text>
    </comment>
    <comment ref="B83" authorId="0" shapeId="0">
      <text>
        <r>
          <rPr>
            <b/>
            <sz val="8"/>
            <rFont val="Arial"/>
            <family val="2"/>
          </rPr>
          <t>Cumulative gross investment held in convertible
notes, for each investment round. Used for
plotting.
(variable Invest_End_Conv_plt)</t>
        </r>
      </text>
    </comment>
    <comment ref="B85" authorId="0" shapeId="0">
      <text>
        <r>
          <rPr>
            <b/>
            <sz val="8"/>
            <rFont val="Arial"/>
            <family val="2"/>
          </rPr>
          <t>Cumulative gross investment in options held at the
end of each investment round. Used for plotting.
(variable Invest_End_Opt_plt)</t>
        </r>
      </text>
    </comment>
    <comment ref="B87" authorId="0" shapeId="0">
      <text>
        <r>
          <rPr>
            <b/>
            <sz val="8"/>
            <rFont val="Arial"/>
            <family val="2"/>
          </rPr>
          <t>Cumulative gross investment held in preferred
stock at the end of each investment round.
Includes dividends. Used for plotting.
(variable Invest_End_Preferred_plt)</t>
        </r>
      </text>
    </comment>
    <comment ref="B89" authorId="0" shapeId="0">
      <text>
        <r>
          <rPr>
            <b/>
            <sz val="8"/>
            <rFont val="Arial"/>
            <family val="2"/>
          </rPr>
          <t>Cumulative gross investment held in warrants at
the end of each investment round. Includes
dividends. Used for plotting.
(variable Invest_End_War_plt)</t>
        </r>
      </text>
    </comment>
    <comment ref="B91" authorId="0" shape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B98" authorId="0" shapeId="0">
      <text>
        <r>
          <rPr>
            <b/>
            <sz val="8"/>
            <rFont val="Arial"/>
            <family val="2"/>
          </rPr>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
(variable Investment_Net)</t>
        </r>
      </text>
    </comment>
    <comment ref="B107" authorId="0" shapeId="0">
      <text>
        <r>
          <rPr>
            <b/>
            <sz val="8"/>
            <rFont val="Arial"/>
            <family val="2"/>
          </rPr>
          <t>Net investment at the end of each investment
round, segmented by type of security. Used in
plots.
(variable Investment_Net_End_plt)</t>
        </r>
      </text>
    </comment>
    <comment ref="B109" authorId="0" shapeId="0">
      <text>
        <r>
          <rPr>
            <b/>
            <sz val="8"/>
            <rFont val="Arial"/>
            <family val="2"/>
          </rPr>
          <t>Net new investment in each investment round,
segmented by type of security. Used in plots.
(variable Investment_Net_New_plt)</t>
        </r>
      </text>
    </comment>
    <comment ref="B111" authorId="0" shape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B113" authorId="0" shape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B115" authorId="0" shapeId="0">
      <text>
        <r>
          <rPr>
            <b/>
            <sz val="8"/>
            <rFont val="Arial"/>
            <family val="2"/>
          </rPr>
          <t>Cash flows used to compute present values and
internal rates of return for each series and type
of security. Includes founders non-cash
contributions in the first round and payouts in
the last round.
(variable IRR_Cash_Flow)</t>
        </r>
      </text>
    </comment>
    <comment ref="B118" authorId="0" shapeId="0">
      <text>
        <r>
          <rPr>
            <b/>
            <sz val="8"/>
            <rFont val="Arial"/>
            <family val="2"/>
          </rPr>
          <t>Initial guess at internal rate of return of the
cash flow for holders of each series and type of
security, to start the iterative solution for the
IRR
(variable IRR_Initial_Guess_Yr)</t>
        </r>
      </text>
    </comment>
    <comment ref="B120" authorId="0" shapeId="0">
      <text>
        <r>
          <rPr>
            <b/>
            <sz val="8"/>
            <rFont val="Arial"/>
            <family val="2"/>
          </rPr>
          <t>Internal rate of return of cash flow to holders of
each series and type of security. Includes new
investments, exercise payments (for warrants and
options) and final payout at the end of the last
investment round.
(variable IRR_XIRR_Yr)</t>
        </r>
      </text>
    </comment>
    <comment ref="B122" authorId="0" shapeId="0">
      <text>
        <r>
          <rPr>
            <b/>
            <sz val="8"/>
            <rFont val="Arial"/>
            <family val="2"/>
          </rPr>
          <t>The multiple of new investment that is added to
liquidation preference for each class of security,
in each investment round
(variable Liq_Multiple)</t>
        </r>
      </text>
    </comment>
    <comment ref="B124" authorId="0" shape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B126" authorId="0" shapeId="0">
      <text>
        <r>
          <rPr>
            <b/>
            <sz val="8"/>
            <rFont val="Arial"/>
            <family val="2"/>
          </rPr>
          <t>The amount of liquidiation preference that is due
to each class of security (before anything is paid
to holders of junior securities, in the event of
liquidiation), at the last phase (End) of  the
last round
(variable Liq_Preference_EndLast)</t>
        </r>
      </text>
    </comment>
    <comment ref="B128" authorId="0" shapeId="0">
      <text>
        <r>
          <rPr>
            <b/>
            <sz val="8"/>
            <rFont val="Arial"/>
            <family val="2"/>
          </rPr>
          <t>The amount of new liquidiation preference that is
due to each class of security (before anything is
paid to holders of junior securities, in the event
of liquidiation), at the last phase (End) of each
round
(variable Liq_Preference_New)</t>
        </r>
      </text>
    </comment>
    <comment ref="B130" authorId="0" shapeId="0">
      <text>
        <r>
          <rPr>
            <b/>
            <sz val="8"/>
            <rFont val="Arial"/>
            <family val="2"/>
          </rPr>
          <t>Net present value of cash flows to each series of
each type of security. Each series and type of
security can have its own discount rate to reflect
different risks.
(variable Net_Present_Value_XNPV)</t>
        </r>
      </text>
    </comment>
    <comment ref="B132" authorId="0" shape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B138" authorId="0" shape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B140" authorId="0" shapeId="0">
      <text>
        <r>
          <rPr>
            <b/>
            <sz val="8"/>
            <rFont val="Arial"/>
            <family val="2"/>
          </rPr>
          <t>Number of unexercised warrants and options that
are in the money in phase End, for each investment
round. Used in variable Payout in denominators of
formulas.
(variable OptionWar_in_Money)</t>
        </r>
      </text>
    </comment>
    <comment ref="B143" authorId="0" shapeId="0">
      <text>
        <r>
          <rPr>
            <b/>
            <sz val="8"/>
            <rFont val="Arial"/>
            <family val="2"/>
          </rPr>
          <t>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t>
        </r>
      </text>
    </comment>
    <comment ref="B147" authorId="0" shapeId="0">
      <text>
        <r>
          <rPr>
            <b/>
            <sz val="8"/>
            <rFont val="Arial"/>
            <family val="2"/>
          </rPr>
          <t>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Payout_by_Origin_Last)</t>
        </r>
      </text>
    </comment>
    <comment ref="B149" authorId="0" shapeId="0">
      <text>
        <r>
          <rPr>
            <b/>
            <sz val="8"/>
            <rFont val="Arial"/>
            <family val="2"/>
          </rPr>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Payout_by_Origin_pct)</t>
        </r>
      </text>
    </comment>
    <comment ref="B151" authorId="0" shapeId="0">
      <text>
        <r>
          <rPr>
            <b/>
            <sz val="8"/>
            <rFont val="Arial"/>
            <family val="2"/>
          </rPr>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Payout_by_Origin_pct_LastRnd)</t>
        </r>
      </text>
    </comment>
    <comment ref="B153" authorId="0" shape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B160" authorId="0" shapeId="0">
      <text>
        <r>
          <rPr>
            <b/>
            <sz val="8"/>
            <rFont val="Arial"/>
            <family val="2"/>
          </rPr>
          <t>The percentage of the entire payout that is paid
to each type of security in the final (exit) round
(variable Payout_End_pct)</t>
        </r>
      </text>
    </comment>
    <comment ref="B162" authorId="0" shapeId="0">
      <text>
        <r>
          <rPr>
            <b/>
            <sz val="8"/>
            <rFont val="Arial"/>
            <family val="2"/>
          </rPr>
          <t>The amount of funds that would be paid to each
type of security if liquidation occurs at the end
of the last investment round. Warrants and options
are exercised if they are in the money. The common
payout pool covers common shares, including
exercised warrants and options.
(variable Payout_EndLast)</t>
        </r>
      </text>
    </comment>
    <comment ref="B164" authorId="0" shapeId="0">
      <text>
        <r>
          <rPr>
            <b/>
            <sz val="8"/>
            <rFont val="Arial"/>
            <family val="2"/>
          </rPr>
          <t>The percentage of the entire payout that is paid
to each type of security in the final (exit) round
(variable Payout_EndLast_pct)</t>
        </r>
      </text>
    </comment>
    <comment ref="B166" authorId="0" shapeId="0">
      <text>
        <r>
          <rPr>
            <b/>
            <sz val="8"/>
            <rFont val="Arial"/>
            <family val="2"/>
          </rPr>
          <t>The amount of funds available for payout to each
type of security at phase End (after conversion of
notes and exercise of warrants and options), in
each investment round. The common payout pool
covers common shares, including exercised warrants
and options.
(variable Payout_Pool_End)</t>
        </r>
      </text>
    </comment>
    <comment ref="B169" authorId="0" shapeId="0">
      <text>
        <r>
          <rPr>
            <b/>
            <sz val="8"/>
            <rFont val="Arial"/>
            <family val="2"/>
          </rPr>
          <t>The amount of funds available for payout to each
type of security at phase End (after conversion of
notes and exercise of warrants and options) of the
last investment round. The common payout pool
covers common shares, including exercised warrants
and options.
(variable Payout_Pool_EndLast)</t>
        </r>
      </text>
    </comment>
    <comment ref="B172" authorId="0" shapeId="0">
      <text>
        <r>
          <rPr>
            <b/>
            <sz val="8"/>
            <rFont val="Arial"/>
            <family val="2"/>
          </rPr>
          <t>Initial common share price at the start of the
seed round
(variable Price_Common_Init)</t>
        </r>
      </text>
    </comment>
    <comment ref="B174" authorId="0" shape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B177"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B183" authorId="0" shapeId="0">
      <text>
        <r>
          <rPr>
            <b/>
            <sz val="8"/>
            <rFont val="Arial"/>
            <family val="2"/>
          </rPr>
          <t>Price at which new warrants and options are
purchased. Warrant and option prices are based on
current stock price, ignoring the variance of
stock price over time.
(variable Price_Unit_New)</t>
        </r>
      </text>
    </comment>
    <comment ref="B187" authorId="0" shapeId="0">
      <text>
        <r>
          <rPr>
            <b/>
            <sz val="8"/>
            <rFont val="Arial"/>
            <family val="2"/>
          </rPr>
          <t>Ratio (price at which new units are purchased) /
(common share price - exercise price).
(variable Price_Unit_New_pct)</t>
        </r>
      </text>
    </comment>
    <comment ref="B189" authorId="0" shapeId="0">
      <text>
        <r>
          <rPr>
            <b/>
            <sz val="8"/>
            <rFont val="Arial"/>
            <family val="2"/>
          </rPr>
          <t>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(variable Price_Unit_Start)</t>
        </r>
      </text>
    </comment>
    <comment ref="B195" authorId="0" shapeId="0">
      <text>
        <r>
          <rPr>
            <b/>
            <sz val="8"/>
            <rFont val="Arial"/>
            <family val="2"/>
          </rPr>
          <t>The multiple of investment (ex-dividends) that
each type of security gets. This is a straight
multiple with no discounting for the time value of
money. The value of founders' noncash
contributions are included as investments in this
computation.
(variable Return_Multiple)</t>
        </r>
      </text>
    </comment>
    <comment ref="B197" authorId="0" shapeId="0">
      <text>
        <r>
          <rPr>
            <b/>
            <sz val="8"/>
            <rFont val="Arial"/>
            <family val="2"/>
          </rPr>
          <t>Investment rounds, used for plotting
(variable Rounds_plt)</t>
        </r>
      </text>
    </comment>
    <comment ref="B199" authorId="0" shapeId="0">
      <text>
        <r>
          <rPr>
            <b/>
            <sz val="8"/>
            <rFont val="Arial"/>
            <family val="2"/>
          </rPr>
          <t>(variable Scenarios_Invest_Dim)</t>
        </r>
      </text>
    </comment>
    <comment ref="B203" authorId="0" shapeId="0">
      <text>
        <r>
          <rPr>
            <b/>
            <sz val="8"/>
            <rFont val="Arial"/>
            <family val="2"/>
          </rPr>
          <t>Types of securities, used for plotting
(variable Securities_plt)</t>
        </r>
      </text>
    </comment>
    <comment ref="B205" authorId="0" shape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B209" authorId="0" shapeId="0">
      <text>
        <r>
          <rPr>
            <b/>
            <sz val="8"/>
            <rFont val="Arial"/>
            <family val="2"/>
          </rPr>
          <t>Factor by which common shares are split before the
start of each investment round
(variable Split_Factor_Start)</t>
        </r>
      </text>
    </comment>
    <comment ref="B211" authorId="0" shape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B221" authorId="0" shapeId="0">
      <text>
        <r>
          <rPr>
            <b/>
            <sz val="8"/>
            <rFont val="Arial"/>
            <family val="2"/>
          </rPr>
          <t>Numbers of new warrants and options sold, by
investment round. Sales of new convertible notes,
preferred stock and common stock are input as new
investment, from which new shares are computed.
(variable Units_New)</t>
        </r>
      </text>
    </comment>
    <comment ref="B223" authorId="0" shape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List>
</comments>
</file>

<file path=xl/comments10.xml><?xml version="1.0" encoding="utf-8"?>
<comments xmlns="http://schemas.openxmlformats.org/spreadsheetml/2006/main">
  <authors>
    <author>VISTA$</author>
  </authors>
  <commentList>
    <comment ref="A7" authorId="0" shape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C7" authorId="0" shape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E7" authorId="0" shape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G7" authorId="0" shape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A19" authorId="0" shapeId="0">
      <text>
        <r>
          <rPr>
            <b/>
            <sz val="8"/>
            <rFont val="Arial"/>
            <family val="2"/>
          </rPr>
          <t>Dividend rate for preferred stock, and interest
rate paid on convertible notes before conversion
(variable Dividend_pct_Yr)</t>
        </r>
      </text>
    </comment>
    <comment ref="C19" authorId="0" shapeId="0">
      <text>
        <r>
          <rPr>
            <b/>
            <sz val="8"/>
            <rFont val="Arial"/>
            <family val="2"/>
          </rPr>
          <t>Ratio (price at which new units are purchased) /
(common share price - exercise price).
(variable Price_Unit_New_pct)</t>
        </r>
      </text>
    </comment>
    <comment ref="E19" authorId="0" shapeId="0">
      <text>
        <r>
          <rPr>
            <b/>
            <sz val="8"/>
            <rFont val="Arial"/>
            <family val="2"/>
          </rPr>
          <t>The multiple of new investment that is added to
liquidation preference for each class of security,
in each investment round
(variable Liq_Multiple)</t>
        </r>
      </text>
    </comment>
    <comment ref="G19" authorId="0" shape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A33" authorId="0" shape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A45" authorId="0" shape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61" authorId="0" shape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 ref="A78" authorId="0" shapeId="0">
      <text>
        <r>
          <rPr>
            <b/>
            <sz val="8"/>
            <rFont val="Arial"/>
            <family val="2"/>
          </rPr>
          <t>Initial guess at internal rate of return of the
cash flow for holders of each series and type of
security, to start the iterative solution for the
IRR
(variable IRR_Initial_Guess_Yr)</t>
        </r>
      </text>
    </comment>
  </commentList>
</comments>
</file>

<file path=xl/comments11.xml><?xml version="1.0" encoding="utf-8"?>
<comments xmlns="http://schemas.openxmlformats.org/spreadsheetml/2006/main">
  <authors>
    <author>VISTA$</author>
  </authors>
  <commentList>
    <comment ref="A6" authorId="0" shapeId="0">
      <text>
        <r>
          <rPr>
            <b/>
            <sz val="8"/>
            <rFont val="Arial"/>
            <family val="2"/>
          </rPr>
          <t>Types of securities, used for plotting
(variable Securities_plt)</t>
        </r>
      </text>
    </comment>
    <comment ref="D6" authorId="0" shapeId="0">
      <text>
        <r>
          <rPr>
            <b/>
            <sz val="8"/>
            <rFont val="Arial"/>
            <family val="2"/>
          </rPr>
          <t>Investment rounds, used for plotting
(variable Rounds_plt)</t>
        </r>
      </text>
    </comment>
    <comment ref="B18" authorId="0" shapeId="0">
      <text>
        <r>
          <rPr>
            <b/>
            <sz val="8"/>
            <rFont val="Arial"/>
            <family val="2"/>
          </rPr>
          <t>Net new investment in each investment round,
segmented by type of security. Used in plots.
(variable Investment_Net_New_plt)</t>
        </r>
      </text>
    </comment>
    <comment ref="C18" authorId="0" shapeId="0">
      <text>
        <r>
          <rPr>
            <b/>
            <sz val="8"/>
            <rFont val="Arial"/>
            <family val="2"/>
          </rPr>
          <t>Net investment at the end of each investment
round, segmented by type of security. Used in
plots.
(variable Investment_Net_End_plt)</t>
        </r>
      </text>
    </comment>
    <comment ref="A24" authorId="0" shapeId="0">
      <text>
        <r>
          <rPr>
            <b/>
            <sz val="8"/>
            <rFont val="Arial"/>
            <family val="2"/>
          </rPr>
          <t>Cumulative gross investment in convertible notes,
for each investment round. Used for plotting.
(variable Invest_by_Origin_Conv_plt)</t>
        </r>
      </text>
    </comment>
    <comment ref="D24" authorId="0" shapeId="0">
      <text>
        <r>
          <rPr>
            <b/>
            <sz val="8"/>
            <rFont val="Arial"/>
            <family val="2"/>
          </rPr>
          <t>Cumulative gross investment held in convertible
notes, for each investment round. Used for
plotting.
(variable Invest_End_Conv_plt)</t>
        </r>
      </text>
    </comment>
    <comment ref="A29" authorId="0" shapeId="0">
      <text>
        <r>
          <rPr>
            <b/>
            <sz val="8"/>
            <rFont val="Arial"/>
            <family val="2"/>
          </rPr>
          <t>Cumulative gross investment in preferred stock,
for each investment round. Includes dividends.
Used for plotting.
(variable Invest_by_Origin_Preferred_plt)</t>
        </r>
      </text>
    </comment>
    <comment ref="D29" authorId="0" shapeId="0">
      <text>
        <r>
          <rPr>
            <b/>
            <sz val="8"/>
            <rFont val="Arial"/>
            <family val="2"/>
          </rPr>
          <t>Cumulative gross investment held in preferred
stock at the end of each investment round.
Includes dividends. Used for plotting.
(variable Invest_End_Preferred_plt)</t>
        </r>
      </text>
    </comment>
    <comment ref="A34" authorId="0" shapeId="0">
      <text>
        <r>
          <rPr>
            <b/>
            <sz val="8"/>
            <rFont val="Arial"/>
            <family val="2"/>
          </rPr>
          <t>Cumulative gross investment in common stock, for
each investment round. Includes dividends. Used
for plotting.
(variable Invest_by_Origin_Common_plt)</t>
        </r>
      </text>
    </comment>
    <comment ref="D34" authorId="0" shapeId="0">
      <text>
        <r>
          <rPr>
            <b/>
            <sz val="8"/>
            <rFont val="Arial"/>
            <family val="2"/>
          </rPr>
          <t>Cumulative gross investment in common stock held
at the end of each investment round. Includes
dividends. Used for plotting.
(variable Invest_End_Common_plt)</t>
        </r>
      </text>
    </comment>
    <comment ref="A39" authorId="0" shapeId="0">
      <text>
        <r>
          <rPr>
            <b/>
            <sz val="8"/>
            <rFont val="Arial"/>
            <family val="2"/>
          </rPr>
          <t>Cumulative gross investment in warrants, for each
investment round. Used for plotting.
(variable Invest_by_Origin_War_plt)</t>
        </r>
      </text>
    </comment>
    <comment ref="D39" authorId="0" shapeId="0">
      <text>
        <r>
          <rPr>
            <b/>
            <sz val="8"/>
            <rFont val="Arial"/>
            <family val="2"/>
          </rPr>
          <t>Cumulative gross investment held in warrants at
the end of each investment round. Includes
dividends. Used for plotting.
(variable Invest_End_War_plt)</t>
        </r>
      </text>
    </comment>
    <comment ref="A44" authorId="0" shapeId="0">
      <text>
        <r>
          <rPr>
            <b/>
            <sz val="8"/>
            <rFont val="Arial"/>
            <family val="2"/>
          </rPr>
          <t>Cumulative gross investment in options, for each
investment round. Used for plotting.
(variable Invest_by_Origin_Opt_plt)</t>
        </r>
      </text>
    </comment>
    <comment ref="D44" authorId="0" shapeId="0">
      <text>
        <r>
          <rPr>
            <b/>
            <sz val="8"/>
            <rFont val="Arial"/>
            <family val="2"/>
          </rPr>
          <t>Cumulative gross investment in options held at the
end of each investment round. Used for plotting.
(variable Invest_End_Opt_plt)</t>
        </r>
      </text>
    </comment>
    <comment ref="A49" authorId="0" shapeId="0">
      <text>
        <r>
          <rPr>
            <b/>
            <sz val="8"/>
            <rFont val="Arial"/>
            <family val="2"/>
          </rPr>
          <t>Valuation of the firm at the start of each
investment round
(variable Firm_Value_Start)</t>
        </r>
      </text>
    </comment>
    <comment ref="A55" authorId="0" shapeId="0">
      <text>
        <r>
          <rPr>
            <b/>
            <sz val="8"/>
            <rFont val="Arial"/>
            <family val="2"/>
          </rPr>
          <t>Firm value at End of each investment round. Used
in plotting.
(variable Firm_Value_End)</t>
        </r>
      </text>
    </comment>
    <comment ref="A61" authorId="0" shape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A77" authorId="0" shapeId="0">
      <text>
        <r>
          <rPr>
            <b/>
            <sz val="8"/>
            <rFont val="Arial"/>
            <family val="2"/>
          </rPr>
          <t>The amount of funds that would be paid to each
type of security if liquidation occurs at the end
of the last investment round. Warrants and options
are exercised if they are in the money. The common
payout pool covers common shares, including
exercised warrants and options.
(variable Payout_EndLast)</t>
        </r>
      </text>
    </comment>
    <comment ref="A93" authorId="0" shapeId="0">
      <text>
        <r>
          <rPr>
            <b/>
            <sz val="8"/>
            <rFont val="Arial"/>
            <family val="2"/>
          </rPr>
          <t>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Payout_by_Origin_Last)</t>
        </r>
      </text>
    </comment>
  </commentList>
</comments>
</file>

<file path=xl/comments12.xml><?xml version="1.0" encoding="utf-8"?>
<comments xmlns="http://schemas.openxmlformats.org/spreadsheetml/2006/main">
  <authors>
    <author>VISTA$</author>
  </authors>
  <commentList>
    <comment ref="A4" authorId="0" shape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A16" authorId="0" shapeId="0">
      <text>
        <r>
          <rPr>
            <b/>
            <sz val="8"/>
            <rFont val="Arial"/>
            <family val="2"/>
          </rPr>
          <t>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(variable Price_Unit_Start)</t>
        </r>
      </text>
    </comment>
    <comment ref="A32" authorId="0" shape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109" authorId="0" shapeId="0">
      <text>
        <r>
          <rPr>
            <b/>
            <sz val="8"/>
            <rFont val="Arial"/>
            <family val="2"/>
          </rPr>
          <t>Numbers of new warrants and options sold, by
investment round. Sales of new convertible notes,
preferred stock and common stock are input as new
investment, from which new shares are computed.
(variable Units_New)</t>
        </r>
      </text>
    </comment>
    <comment ref="A125" authorId="0" shape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 ref="A172" authorId="0" shape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188" authorId="0" shape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A195" authorId="0" shape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A211" authorId="0" shapeId="0">
      <text>
        <r>
          <rPr>
            <b/>
            <sz val="8"/>
            <rFont val="Arial"/>
            <family val="2"/>
          </rPr>
          <t>The amount of new liquidiation preference that is
due to each class of security (before anything is
paid to holders of junior securities, in the event
of liquidiation), at the last phase (End) of each
round
(variable Liq_Preference_New)</t>
        </r>
      </text>
    </comment>
    <comment ref="A227" authorId="0" shape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A243" authorId="0" shapeId="0">
      <text>
        <r>
          <rPr>
            <b/>
            <sz val="8"/>
            <rFont val="Arial"/>
            <family val="2"/>
          </rPr>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
(variable Dividend_by_Origin)</t>
        </r>
      </text>
    </comment>
    <comment ref="A259" authorId="0" shape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A271" authorId="0" shapeId="0">
      <text>
        <r>
          <rPr>
            <b/>
            <sz val="8"/>
            <rFont val="Arial"/>
            <family val="2"/>
          </rPr>
          <t>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t>
        </r>
      </text>
    </comment>
    <comment ref="A287" authorId="0" shapeId="0">
      <text>
        <r>
          <rPr>
            <b/>
            <sz val="8"/>
            <rFont val="Arial"/>
            <family val="2"/>
          </rPr>
          <t>Number of unexercised warrants and options that
are in the money in phase End, for each investment
round. Used in variable Payout in denominators of
formulas.
(variable OptionWar_in_Money)</t>
        </r>
      </text>
    </comment>
    <comment ref="A303" authorId="0" shapeId="0">
      <text>
        <r>
          <rPr>
            <b/>
            <sz val="8"/>
            <rFont val="Arial"/>
            <family val="2"/>
          </rPr>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Payout_by_Origin_pct)</t>
        </r>
      </text>
    </comment>
    <comment ref="A319" authorId="0" shapeId="0">
      <text>
        <r>
          <rPr>
            <b/>
            <sz val="8"/>
            <rFont val="Arial"/>
            <family val="2"/>
          </rPr>
          <t>Cash flows used to compute present values and
internal rates of return for each series and type
of security. Includes founders non-cash
contributions in the first round and payouts in
the last round.
(variable IRR_Cash_Flow)</t>
        </r>
      </text>
    </comment>
    <comment ref="D322" authorId="0" shapeId="0">
      <text>
        <r>
          <rPr>
            <b/>
            <sz val="8"/>
            <rFont val="Arial"/>
            <family val="2"/>
          </rPr>
          <t>There are errors in the formula:
Investment!D68+Investment!D98+0-if(iserror(#REF!),
D274, 0)
Investment_by_Origin[Securities.Conv_Note.Series_B,
Rounds.Exit,
Phases.New_Sales]+Investment_by_Origin[Securities.Conv_Note.Series_B,
Rounds.Exit, Phases.Convert]+0-if(iserror({#ERR
Error: Dimension item index out of range
while evaling:
IRR_Cash_Flow[Securities.Conv_Note.Series_B,
Rounds.Exit]:
}), Payout_by_Origin[Securities.Conv_Note.Series_B,
Rounds.Exit], 0)</t>
        </r>
      </text>
    </comment>
    <comment ref="D323" authorId="0" shapeId="0">
      <text>
        <r>
          <rPr>
            <b/>
            <sz val="8"/>
            <rFont val="Arial"/>
            <family val="2"/>
          </rPr>
          <t>There are errors in the formula:
Investment!D69+Investment!D99+0-if(iserror(#REF!),
D275, 0)
Investment_by_Origin[Securities.Conv_Note.Series_A,
Rounds.Exit,
Phases.New_Sales]+Investment_by_Origin[Securities.Conv_Note.Series_A,
Rounds.Exit, Phases.Convert]+0-if(iserror({#ERR
Error: Dimension item index out of range
while evaling:
IRR_Cash_Flow[Securities.Conv_Note.Series_A,
Rounds.Exit]:
}), Payout_by_Origin[Securities.Conv_Note.Series_A,
Rounds.Exit], 0)</t>
        </r>
      </text>
    </comment>
    <comment ref="D326" authorId="0" shapeId="0">
      <text>
        <r>
          <rPr>
            <b/>
            <sz val="8"/>
            <rFont val="Arial"/>
            <family val="2"/>
          </rPr>
          <t>There are errors in the formula:
Investment!D72+Investment!D102+0-if(iserror(#REF!),
D278, 0)
Investment_by_Origin[Securities.Preferred.Series_A,
Rounds.Exit,
Phases.New_Sales]+Investment_by_Origin[Securities.Preferred.Series_A,
Rounds.Exit, Phases.Convert]+0-if(iserror({#ERR
Error: Dimension item index out of range
while evaling:
IRR_Cash_Flow[Securities.Preferred.Series_A,
Rounds.Exit]:
}), Payout_by_Origin[Securities.Preferred.Series_A,
Rounds.Exit], 0)</t>
        </r>
      </text>
    </comment>
    <comment ref="D328" authorId="0" shapeId="0">
      <text>
        <r>
          <rPr>
            <b/>
            <sz val="8"/>
            <rFont val="Arial"/>
            <family val="2"/>
          </rPr>
          <t>There are errors in the formula:
Investment!D74+Investment!D104+0-if(iserror(#REF!),
D280, 0)
Investment_by_Origin[Securities.Common,
Rounds.Exit,
Phases.New_Sales]+Investment_by_Origin[Securities.Common,
Rounds.Exit, Phases.Convert]+0-if(iserror({#ERR
Error: Dimension item index out of range
while evaling: IRR_Cash_Flow[Securities.Common,
Rounds.Exit]:
}), Payout_by_Origin[Securities.Common,
Rounds.Exit], 0)</t>
        </r>
      </text>
    </comment>
    <comment ref="D329" authorId="0" shapeId="0">
      <text>
        <r>
          <rPr>
            <b/>
            <sz val="8"/>
            <rFont val="Arial"/>
            <family val="2"/>
          </rPr>
          <t>There are errors in the formula:
Investment!D75+Investment!D105+0-if(iserror(#REF!),
D281, 0)
Investment_by_Origin[Securities.Warrant,
Rounds.Exit,
Phases.New_Sales]+Investment_by_Origin[Securities.Warrant,
Rounds.Exit, Phases.Convert]+0-if(iserror({#ERR
Error: Dimension item index out of range
while evaling: IRR_Cash_Flow[Securities.Warrant,
Rounds.Exit]:
}), Payout_by_Origin[Securities.Warrant,
Rounds.Exit], 0)</t>
        </r>
      </text>
    </comment>
    <comment ref="D331" authorId="0" shapeId="0">
      <text>
        <r>
          <rPr>
            <b/>
            <sz val="8"/>
            <rFont val="Arial"/>
            <family val="2"/>
          </rPr>
          <t>There are errors in the formula:
Investment!D77+Investment!D107+0-if(iserror(#REF!),
D283, 0)
Investment_by_Origin[Securities.Option.Series_B,
Rounds.Exit,
Phases.New_Sales]+Investment_by_Origin[Securities.Option.Series_B,
Rounds.Exit, Phases.Convert]+0-if(iserror({#ERR
Error: Dimension item index out of range
while evaling:
IRR_Cash_Flow[Securities.Option.Series_B,
Rounds.Exit]:
}), Payout_by_Origin[Securities.Option.Series_B,
Rounds.Exit], 0)</t>
        </r>
      </text>
    </comment>
    <comment ref="D332" authorId="0" shapeId="0">
      <text>
        <r>
          <rPr>
            <b/>
            <sz val="8"/>
            <rFont val="Arial"/>
            <family val="2"/>
          </rPr>
          <t>There are errors in the formula:
Investment!D78+Investment!D108+0-if(iserror(#REF!),
D284, 0)
Investment_by_Origin[Securities.Option.Series_A,
Rounds.Exit,
Phases.New_Sales]+Investment_by_Origin[Securities.Option.Series_A,
Rounds.Exit, Phases.Convert]+0-if(iserror({#ERR
Error: Dimension item index out of range
while evaling:
IRR_Cash_Flow[Securities.Option.Series_A,
Rounds.Exit]:
}), Payout_by_Origin[Securities.Option.Series_A,
Rounds.Exit], 0)</t>
        </r>
      </text>
    </comment>
  </commentList>
</comments>
</file>

<file path=xl/sharedStrings.xml><?xml version="1.0" encoding="utf-8"?>
<sst xmlns="http://schemas.openxmlformats.org/spreadsheetml/2006/main" count="1299" uniqueCount="928">
  <si>
    <t>:A:-1:Event_Date_Sc0</t>
  </si>
  <si>
    <t>Price_Unit_New_pct["Securities.Conv_Note.Series_A"]|=1</t>
  </si>
  <si>
    <t>Dividend_Common</t>
  </si>
  <si>
    <t>Convert_Trigger_Invest_Amt</t>
  </si>
  <si>
    <t>Invest by Origin Conv Notes</t>
  </si>
  <si>
    <t>:A:-1:Invest_End_Opt_plt</t>
  </si>
  <si>
    <t>OptionWar_Exercise_Amt["Phases.Convert"]</t>
  </si>
  <si>
    <t>Display Item As</t>
  </si>
  <si>
    <t>Investment_Net["Phases.New_Sales"]</t>
  </si>
  <si>
    <t>:A:-1:Investment_Net_New_plt</t>
  </si>
  <si>
    <t>:A:0:Rounds_plt</t>
  </si>
  <si>
    <t>Price_Premium_pct["Securities.Common", "Rounds.Exit"]|=C39</t>
  </si>
  <si>
    <t>Initial guess at internal rate of return of the cash flow for holders of each series and type of security, to start the iterative solution for the IRR</t>
  </si>
  <si>
    <t>:A:-1:Dividend_by_Origin</t>
  </si>
  <si>
    <t>Convert_Trigger_Value_pct["Securities.Preferred.Series_A"]|=0.50</t>
  </si>
  <si>
    <t>:A:0:Convert_Trigger_Invest_Amt</t>
  </si>
  <si>
    <t>:D:2:Securities.Conv_Note.Series_B</t>
  </si>
  <si>
    <t>Net new investment in each investment round, segmented by type of security. Used in plots.</t>
  </si>
  <si>
    <t>Net Units</t>
  </si>
  <si>
    <t>:A:-1:Return_Multiple</t>
  </si>
  <si>
    <t>Dimension Index</t>
  </si>
  <si>
    <t>Dividend paid on common stock, paid at the beginning of each investment round</t>
  </si>
  <si>
    <t>Price_Premium_pct["Securities.Option.Series_A", "Rounds.Seed"]|=0</t>
  </si>
  <si>
    <t>Price_Premium_pct["Securities.Option.Series_B", "Rounds.Exit"]|=C42</t>
  </si>
  <si>
    <t>The amount of funds available for payout to each type of security at phase End (after conversion of notes and exercise of warrants and options) of the last investment round. The common payout pool covers common shares, including exercised warrants and options.</t>
  </si>
  <si>
    <t>Firm_Value_Start_Sc0["Rounds.Exit"]|=1000000</t>
  </si>
  <si>
    <t>Event_Date_Sc0["Rounds.Exit"]|=date(2010, 11*3-3, 1)</t>
  </si>
  <si>
    <t>Investment_New_Sc0["Securities.Option.Series_A", "Rounds.Exit"]|=0</t>
  </si>
  <si>
    <t>Investment_New_Sc0["Securities.Common", "Rounds.Seed"]|=1</t>
  </si>
  <si>
    <t>IRR_Initial_Guess_Yr["Securities.Warrant"]|=0.50</t>
  </si>
  <si>
    <t>:A:-1:Converting_pct</t>
  </si>
  <si>
    <t>if(Investment_by_Origin["Securities.Common", "Phases.Post_Sales"]+Investment_by_Origin["Securities.Preferred", "Phases.Post_Sales"]+Investment_by_Origin["Securities.Conv_Note", "Phases.Post_Sales"]&gt;=var(Convert_Trigger_Invest_Amt), 1, 0)</t>
  </si>
  <si>
    <t>prevde(0.10, "Rounds")</t>
  </si>
  <si>
    <t>Units 'in the Money'</t>
  </si>
  <si>
    <t>:A:-1:OptionWar_Exercise_Amt</t>
  </si>
  <si>
    <t>Price_Premium_pct["Securities.Conv_Note.Series_B", "Rounds.Exit"]|=C35</t>
  </si>
  <si>
    <t xml:space="preserve">  Exit</t>
  </si>
  <si>
    <t>Payout</t>
  </si>
  <si>
    <t>:D:1:Convert_Conditions</t>
  </si>
  <si>
    <t>Lastd("Phases", Units_Net)/(Lastd("Phases", Units_Net)+OptionWar_in_Money["Securities"])*Payout_Pool_End</t>
  </si>
  <si>
    <t>Split_Factor_Start</t>
  </si>
  <si>
    <t>:A:0:Discount_Rate_Yr</t>
  </si>
  <si>
    <t>:A:0:Invest_by_Origin_exDiv</t>
  </si>
  <si>
    <t>Discount_Rate_Yr["Securities.Option.Series_A"]|=0.30</t>
  </si>
  <si>
    <t>Rounds, Securities.Option</t>
  </si>
  <si>
    <t>:A:0:Liq_Multiple</t>
  </si>
  <si>
    <t>:D:0:Phases</t>
  </si>
  <si>
    <t>:A:-1:Convert_Trigger_Invest_Amt</t>
  </si>
  <si>
    <t>:A:0:Invest_by_Origin_War_plt</t>
  </si>
  <si>
    <t>Event_Date_Sc0</t>
  </si>
  <si>
    <t>The types of securities and the series within each type.
* A convertible note is a loan that is convertible to common stock subject to certain restrictions of time and circumstances.
* Preferred stock is equity that has preference rights over common stock in payouts from the company, usually accrues a dividend in each time period, may be convertible to common stock under some circumstances, and may have preferential voting rights.
* A warrant is an option that is issued by and guaranteed by the company (whereas options are not so guaranteed)
* An option means a "call option" to buy one share of common stock at a fixed "exercise price" before the end of life of the option.
You can add new types of securities and new rounds in ModelSheet, but not in exported spreadsheets.</t>
  </si>
  <si>
    <t>:A:-1:Dividend</t>
  </si>
  <si>
    <t>Scenarios_Invest_Dim</t>
  </si>
  <si>
    <t>ifm(isleafd("rounds"), sum(rangedru("Securities", Payout_by_Origin)), "")</t>
  </si>
  <si>
    <t>Round A</t>
  </si>
  <si>
    <t>Gross investment including value of converted securities, and excluding preferred dividends and interest payments on notes, segmented by type of security, by investment round</t>
  </si>
  <si>
    <t>The percentage of the entire payout that is paid to each type of security in the final (exit) round</t>
  </si>
  <si>
    <t>Price_Unit_New_pct["Securities.Conv_Note.Series_B"]|=1</t>
  </si>
  <si>
    <t>Dividend_pct_Yr*prevde(0, "Rounds", Lastd("Phases", Investment_Net))*var(Event_Date-prevde(firstd("Rounds", Event_Date), "Rounds", Event_Date))/365+Dividend_Common*prevde(0, "Rounds", Shares_Common_by_Origin/Lastd("Phases", Units_Net["Securities.Common"]))</t>
  </si>
  <si>
    <t>:A:0:Payout_EndLast</t>
  </si>
  <si>
    <t>Price New Unit</t>
  </si>
  <si>
    <t>:A:0:OptionWar_Exercise_Amt</t>
  </si>
  <si>
    <t>:A:0:Invest_by_Origin_Opt_plt</t>
  </si>
  <si>
    <t>Convert_Trigger_Value_pct["Securities.Common"]|=0.50</t>
  </si>
  <si>
    <t>:A:0:Dividend_Common</t>
  </si>
  <si>
    <t>:A:-1:Invest_by_Origin_Preferred_plt</t>
  </si>
  <si>
    <t>:A:-1:Payout_Pool_EndLast</t>
  </si>
  <si>
    <t>Invest End of Round Common</t>
  </si>
  <si>
    <t>Investment_New_Sc0["Securities.Warrant", "Rounds.Round_A"]|=0</t>
  </si>
  <si>
    <t>Total As</t>
  </si>
  <si>
    <t>New Sales</t>
  </si>
  <si>
    <t>:D:0:Securities.Option.Series_B</t>
  </si>
  <si>
    <t>Securities</t>
  </si>
  <si>
    <t>:A:0:Event_Date</t>
  </si>
  <si>
    <t>Trigger Invest</t>
  </si>
  <si>
    <t>var(ifm(and(dimitemnum("Rounds")=1, diminfo("Securities", 0)="Common"), 1, 0))</t>
  </si>
  <si>
    <t>ABC Corp.</t>
  </si>
  <si>
    <t>:A:-1:Dividend_pct_Yr</t>
  </si>
  <si>
    <t>Convert_Liq_Premium_pct["Securities.Option.Series_A"]|=0</t>
  </si>
  <si>
    <t>Investment_New_Sc0["Securities.Option.Series_B", "Rounds.Seed"]|=0</t>
  </si>
  <si>
    <t>Level As</t>
  </si>
  <si>
    <t>Payout_by_Origin_pct_LastRnd</t>
  </si>
  <si>
    <t xml:space="preserve">  Trigger_Date</t>
  </si>
  <si>
    <t>:A:0:Conversion_Decisions_Detail</t>
  </si>
  <si>
    <t>Phases, Securities</t>
  </si>
  <si>
    <t>New Unit Price %</t>
  </si>
  <si>
    <t>:D:0:Securities.Preferred.Series_A</t>
  </si>
  <si>
    <t>Units_New_Sc0["Securities.Conv_Note.Series_A", "Rounds.Seed"]|=0/3/10</t>
  </si>
  <si>
    <t>Firm_Value_Start_Sc0["Rounds.Round_A"]|=1000000</t>
  </si>
  <si>
    <t>Convert_Liq_Premium_pct</t>
  </si>
  <si>
    <t>Company Name</t>
  </si>
  <si>
    <t>Price_Common_Init[]|</t>
  </si>
  <si>
    <t>Units_New</t>
  </si>
  <si>
    <t>Units_Net</t>
  </si>
  <si>
    <t>Investment_New_Sc0["Securities.Preferred.Series_A", "Rounds.Exit"]|=0</t>
  </si>
  <si>
    <t>:A:-1:Liq_Multiple</t>
  </si>
  <si>
    <t>:D:1:Securities</t>
  </si>
  <si>
    <t>Price_Premium_pct["Securities.Option.Series_A", "Rounds.Round_A"]|=B43</t>
  </si>
  <si>
    <t>:WS:</t>
  </si>
  <si>
    <t>:A:-1:Payout_by_Origin_pct_LastRnd</t>
  </si>
  <si>
    <t>:A:0:Dividend_by_Origin_Last</t>
  </si>
  <si>
    <t>Firstd("Phases", Invest_by_Origin_exDiv)+Invest_by_Origin_exDiv["Phases.New_Sales"]</t>
  </si>
  <si>
    <t>Price_Common_Init</t>
  </si>
  <si>
    <t>Dividend_pct_Yr["Securities.Warrant"]|=0</t>
  </si>
  <si>
    <t>Units_New*OptionWar_Exercise_Price</t>
  </si>
  <si>
    <t>ifm(isleafd("Rounds"), Payout_End/Payout_End["Securities"], "")</t>
  </si>
  <si>
    <t>Converting_pct*Units_Net["Phases.Post_Sales"]</t>
  </si>
  <si>
    <t>Rounds, Securities.Preferred</t>
  </si>
  <si>
    <t>Net investment at the end of each investment round, segmented by type of security. Used in plots.</t>
  </si>
  <si>
    <t xml:space="preserve">  Liquidation</t>
  </si>
  <si>
    <t>Trigger Price</t>
  </si>
  <si>
    <t>Roll-up:</t>
  </si>
  <si>
    <t>Invest by Origin Preferred</t>
  </si>
  <si>
    <t>Convert_Trigger_Date["Securities.Option.Series_A"]|=date(2011,4,1)</t>
  </si>
  <si>
    <t>prevde(0, "Rounds", Shares_Common_by_Origin)*Split_Factor_Start+Units_Net["Phases.New_Sales"]</t>
  </si>
  <si>
    <t>Company_Name[]|</t>
  </si>
  <si>
    <t>OptionWar_Exercise_Price</t>
  </si>
  <si>
    <t>Units_New_Sc0["Securities.Common", "Rounds.Exit"]|=0/3/5</t>
  </si>
  <si>
    <t>Rounds, Securities.Common</t>
  </si>
  <si>
    <t>:A:0:Price_Unit_New_pct</t>
  </si>
  <si>
    <t>Scenarios_Value</t>
  </si>
  <si>
    <t>:A:-1:OptionWar_in_Money</t>
  </si>
  <si>
    <t>:A:0:Units_New_Sc0</t>
  </si>
  <si>
    <t>:D:1:Rounds</t>
  </si>
  <si>
    <t>Firstd("Phases", Investment_by_Origin)+Investment_by_Origin["Phases.New_Sales"]</t>
  </si>
  <si>
    <t>Plot Support'!Invest_End_Conv_plt</t>
  </si>
  <si>
    <t>Convert_Trigger_Invest_Amt["Securities.Conv_Note.Series_A"]|=1000000</t>
  </si>
  <si>
    <t>Investment_New_Sc0["Securities.Preferred.Series_A", "Rounds.Seed"]|=0</t>
  </si>
  <si>
    <t>:A:-1:Firm_Value_Start_Sc0</t>
  </si>
  <si>
    <t>Cumulative gross investment in common stock held at the end of each investment round. Includes dividends. Used for plotting.</t>
  </si>
  <si>
    <t>Units_New_Sc0["Securities.Preferred.Series_A", "Rounds.Round_A"]|=0/3/5</t>
  </si>
  <si>
    <t>Payout_EndLast_pct</t>
  </si>
  <si>
    <t>Liq_Multiple["Securities.Preferred.Series_A"]|=1</t>
  </si>
  <si>
    <t>Investment_Net["Securities.Conv_Note", "Phases.End"]</t>
  </si>
  <si>
    <t>Price_Unit_New["Securities.Option.Series_A", "Rounds.Seed"]|=max(0, B92*Prices!B18+B92*(-B102))</t>
  </si>
  <si>
    <t>Rounds, Securities</t>
  </si>
  <si>
    <t>(Ranges)'!Securities_plt</t>
  </si>
  <si>
    <t>Units_New_Sc0["Securities.Conv_Note.Series_B", "Rounds.Seed"]|=0/3/10</t>
  </si>
  <si>
    <t>:A:-1:Invest_by_Origin_exDiv_LastRnd</t>
  </si>
  <si>
    <t>Company_Name</t>
  </si>
  <si>
    <t>Firstd("Phases", Firm_Value)+Firm_Value["Phases.New_Sales"]</t>
  </si>
  <si>
    <t>Price_Unit_New["Securities.Option.Series_A", "Rounds.Round_A"]|=max(0, B92*Prices!C18+B92*(-B102))</t>
  </si>
  <si>
    <t>:A:-1:Convert_Trigger_Value_pct</t>
  </si>
  <si>
    <t>Invest_End_Conv_plt</t>
  </si>
  <si>
    <t>Plot Support'!Invest_by_Origin_Opt_plt</t>
  </si>
  <si>
    <t>IRR Initial Guess (Yr)</t>
  </si>
  <si>
    <t>Dividend_pct_Yr*prevde(0, "Rounds", Lastd("Phases", Investment_Net))*var(datediff(Event_Date, prevde(firstd("Rounds", Event_Date), "Rounds", Event_Date)))/365</t>
  </si>
  <si>
    <t>dimitemnum("Scenarios_Value")</t>
  </si>
  <si>
    <t>prevde(var(Firm_Value_Start)+Investment_Net["Securities", "Phases.New_Sales"]+OptionWar_Exercise_Amt["Securities", "Phases.Convert"], "Securities", Payout_Pool_End-Payout_End, 1, 0)</t>
  </si>
  <si>
    <t>Price_Unit_New["Securities.Option.Series_A", "Rounds.Exit"]|=max(0, B92*Prices!D18+B92*(-B102))</t>
  </si>
  <si>
    <t>:A:0:Firm_Value_Start_Sc0</t>
  </si>
  <si>
    <t xml:space="preserve">  Option</t>
  </si>
  <si>
    <t>Invest_End_Preferred_plt</t>
  </si>
  <si>
    <t>:A:0:Units_Net</t>
  </si>
  <si>
    <t>Conv Discount %</t>
  </si>
  <si>
    <t>:A:-1:Scenarios_Invest_Dim</t>
  </si>
  <si>
    <t>Valuation of the firm at the start of each investment round</t>
  </si>
  <si>
    <t>Liq_Multiple["Securities.Common"]|=0</t>
  </si>
  <si>
    <t xml:space="preserve">    Series_A</t>
  </si>
  <si>
    <t>Convert_Trigger_Invest_Amt["Securities.Option.Series_A"]|=1500000</t>
  </si>
  <si>
    <t>Liq_Multiple["Securities.Conv_Note.Series_B"]|=1</t>
  </si>
  <si>
    <t>Price_Unit_New["Securities.Conv_Note.Series_B", "Rounds.Exit"]|='(Other Variables)'!D19</t>
  </si>
  <si>
    <t>Numbers of new warrants and options sold, by investment round, for investment scenario 1. Sales of new convertible notes, preferred stock and common stock are input as new investment, from which new shares are computed.</t>
  </si>
  <si>
    <t>:A:0:Units_New</t>
  </si>
  <si>
    <t>Payout Pool</t>
  </si>
  <si>
    <t>Name of the company</t>
  </si>
  <si>
    <t>if(Convert_Trigger_Value_pct*Firm_Value["Phases.Post_Sales"]&gt;Investment_by_Origin["Securities.Conv_Note", "Phases.Post_Sales"], 1, 0)</t>
  </si>
  <si>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t>
  </si>
  <si>
    <t>Cumulative gross investment in preferred stock, for each investment round. Includes dividends. Used for plotting.</t>
  </si>
  <si>
    <t>lastd("Rounds", Payout_Pool_End)</t>
  </si>
  <si>
    <t>Firstd("Phases", OptionWar_Exercise_Amt)+OptionWar_Exercise_Amt["Phases.New_Sales"]</t>
  </si>
  <si>
    <t>Price_Premium_pct["Securities.Conv_Note.Series_A", "Rounds.Exit"]|=C36</t>
  </si>
  <si>
    <t>Investment_New_Sc0["Securities.Conv_Note.Series_B", "Rounds.Seed"]|=0</t>
  </si>
  <si>
    <t>New Investment</t>
  </si>
  <si>
    <t>Units_New_Sc0["Securities.Option.Series_A", "Rounds.Round_A"]|=0/3/10</t>
  </si>
  <si>
    <t>Cumulative gross investment in common stock, for each investment round. Includes dividends. Used for plotting.</t>
  </si>
  <si>
    <t>:A:-1:Payout_by_Origin_Last</t>
  </si>
  <si>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t>
  </si>
  <si>
    <t>Units_New_Sc0["Securities.Conv_Note.Series_A", "Rounds.Exit"]|=0/3/10</t>
  </si>
  <si>
    <t>Seed</t>
  </si>
  <si>
    <t>Conversion Price</t>
  </si>
  <si>
    <t>Convert_Trigger_Date["Securities.Conv_Note.Series_A"]|=date(2011,4,1)</t>
  </si>
  <si>
    <t>Conversion_Decisions_Default</t>
  </si>
  <si>
    <t>date(2010, 11*dimitemnum("Rounds")-3, 1)</t>
  </si>
  <si>
    <t>Convert_Trigger_Invest_Amt["Securities.Preferred.Series_A"]|=1500000</t>
  </si>
  <si>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t>
  </si>
  <si>
    <t xml:space="preserve">  Common</t>
  </si>
  <si>
    <t>Investment_New_Sc0["Securities.Conv_Note.Series_B", "Rounds.Round_A"]|=0</t>
  </si>
  <si>
    <t>Dividend rate for preferred stock, and interest rate paid on convertible notes before conversion</t>
  </si>
  <si>
    <t>:A:0:Payout_Pool_EndLast</t>
  </si>
  <si>
    <t>:A:0:Convert_Liq_Premium_pct</t>
  </si>
  <si>
    <t>:A:0:Liq_Preference_End</t>
  </si>
  <si>
    <t>1000000</t>
  </si>
  <si>
    <t>Rounds, Securities.Conv_Note, Convert_Conditions.Trigger_Value_pct</t>
  </si>
  <si>
    <t>:A:-1:Units_New_Sc0</t>
  </si>
  <si>
    <t>Securities_plt</t>
  </si>
  <si>
    <t>Price_Premium_pct["Securities.Option.Series_B", "Rounds.Seed"]|=0</t>
  </si>
  <si>
    <t>:A:-1:Event_Date</t>
  </si>
  <si>
    <t>Convert_Trigger_Value_pct["Securities.Conv_Note.Series_A"]|=0.50</t>
  </si>
  <si>
    <t>The amount of funds available for payout to each type of security at phase End (after conversion of notes and exercise of warrants and options), in each investment round. The common payout pool covers common shares, including exercised warrants and options.</t>
  </si>
  <si>
    <t>prevde(0, "Rounds", Shares_Common_by_Origin)*Split_Factor_Start+Units_Net["Phases.Convert"]</t>
  </si>
  <si>
    <t>Price_Unit_New_pct["Securities.Preferred.Series_A"]|=1</t>
  </si>
  <si>
    <t>Initial Common Price</t>
  </si>
  <si>
    <t>:D:0:Securities</t>
  </si>
  <si>
    <t>Price_Premium_pct["Securities.Warrant", "Rounds.Seed"]|=0</t>
  </si>
  <si>
    <t>ifm(and(isleafd("Securities"), isleafd("Rounds")), abs(product(ranged("Convert_Conditions"))), " ")</t>
  </si>
  <si>
    <t>IRR_Cash_Flow</t>
  </si>
  <si>
    <t>:A:0:IRR_Cash_Flow</t>
  </si>
  <si>
    <t>:D:2:Rounds</t>
  </si>
  <si>
    <t>Price_Unit_New["Securities.Option.Series_B", "Rounds.Seed"]|=max(0, B91*Prices!B18+B91*(-B101))</t>
  </si>
  <si>
    <t>:A:-1:Invest_by_Origin_Common_plt</t>
  </si>
  <si>
    <t>Plot Support'!Invest_by_Origin_Common_plt</t>
  </si>
  <si>
    <t>(Ranges)'!Payout_EndLast</t>
  </si>
  <si>
    <t>Converting_pct["Securities.Common", "Rounds.Seed"]|=B48</t>
  </si>
  <si>
    <t>:D:-1:Rounds</t>
  </si>
  <si>
    <t>Convert_Liq_Premium_pct["Securities.Option.Series_B"]|=0</t>
  </si>
  <si>
    <t>:D:0:Securities.Conv_Note</t>
  </si>
  <si>
    <t>Invest End Round Notes</t>
  </si>
  <si>
    <t>0</t>
  </si>
  <si>
    <t>Convert_Trigger_Value_pct["Securities.Option.Series_B"]|=0.50</t>
  </si>
  <si>
    <t>Payout_End</t>
  </si>
  <si>
    <t>max(0, var(Price_Unit_Start["Securities.Common"])-OptionWar_Exercise_Price)</t>
  </si>
  <si>
    <t>Dividend by Origin</t>
  </si>
  <si>
    <t>If(Lastd("Rounds", Lastd("Phases", Invest_by_Origin_exDiv))+0*0=0, 0, (Lastd("Rounds", Payout_by_Origin)+sum(ranged("Rounds", Dividend)))/(Lastd("Rounds", Lastd("Phases", Invest_by_Origin_exDiv))+0*0))</t>
  </si>
  <si>
    <t>Rounds, Phases.Convert, Securities.Option</t>
  </si>
  <si>
    <t>:A:0:Firm_Value</t>
  </si>
  <si>
    <t>min(Payout_Pool_End, max(Liq_Preference_End, Lastd("Phases", Investment_Net)/Price_Unit_Conv*Price_Unit_Conv["Securities.Common"]))</t>
  </si>
  <si>
    <t>if((prevde(0, "Rounds", Investment_Net["Phases.End"])+Dividend+Investment_New)/(1-ConvNote_Discount_pct)&gt;(1+Convert_Liq_Premium_pct)*(prevde(0, "Rounds", Liq_Preference_End)+Investment_New*Liq_Multiple), 1, 0)</t>
  </si>
  <si>
    <t>Price_Unit_New["Securities.Common", "Rounds.Exit"]|='(Other Variables)'!D25</t>
  </si>
  <si>
    <t>Date at which securities can first be converted or exercised to obtain common stock. A date beyond the end of model time indicates that there is no trigger date for conversion of the security.</t>
  </si>
  <si>
    <t>ifm(isleafd("Rounds"), sum(rangedru("Securities", Shares_Common_by_Origin)), lastd("Rounds", Shares_Common_by_Origin))</t>
  </si>
  <si>
    <t>Liq_Preference_New</t>
  </si>
  <si>
    <t>:A:0:Invest_by_Origin_Preferred_plt</t>
  </si>
  <si>
    <t>Convert_Trigger_Invest_Amt["Securities.Common"]|=1500000</t>
  </si>
  <si>
    <t>:D:0:Securities.Conv_Note.Series_A</t>
  </si>
  <si>
    <t>Rounds, Securities.Preferred, Convert_Conditions.Liquidation</t>
  </si>
  <si>
    <t>Price_Unit_New["Securities.Conv_Note.Series_A", "Rounds.Seed"]|='(Other Variables)'!B20</t>
  </si>
  <si>
    <t>Payout_End_pct</t>
  </si>
  <si>
    <t>Security 2</t>
  </si>
  <si>
    <t>Discount_Rate_Yr["Securities.Conv_Note.Series_B"]|=0.30</t>
  </si>
  <si>
    <t>Units_New_Sc0["Securities.Option.Series_A", "Rounds.Seed"]|=0/3/10</t>
  </si>
  <si>
    <t>:A:0:Price_Unit_Conv</t>
  </si>
  <si>
    <t>:A:0:IRR_Initial_Guess_Yr</t>
  </si>
  <si>
    <t>Rounds, Phases.End, Securities.Common</t>
  </si>
  <si>
    <t>Rounds, Phases.Post_Sales</t>
  </si>
  <si>
    <t>:A:0:OptionWar_Exercise_Price</t>
  </si>
  <si>
    <t>Funds paid out that are imputed (if paid) to original investments in each type of security, at the end of the last investment round. Warrants and options are exercised if they are in the money. The common payout pool covers common shares, including exercised warrants and options.</t>
  </si>
  <si>
    <t>Invest by Origin Warrants</t>
  </si>
  <si>
    <t>:A:-1:Convert_Liq_Premium_pct</t>
  </si>
  <si>
    <t>Plot Support'!Investment_Net_End_plt</t>
  </si>
  <si>
    <t>:A:0:Invest_End_Preferred_plt</t>
  </si>
  <si>
    <t>A list of the funding rounds</t>
  </si>
  <si>
    <t xml:space="preserve">  Convert</t>
  </si>
  <si>
    <t>Payout_by_Origin_Last</t>
  </si>
  <si>
    <t>:A:0:Payout_by_Origin_pct</t>
  </si>
  <si>
    <t>Price_Unit_Start["Securities.Common"]*(1+Price_Premium_pct)</t>
  </si>
  <si>
    <t>Rounds, Phases.Start, Securities</t>
  </si>
  <si>
    <t>:D:0:Convert_Conditions.Liquidation</t>
  </si>
  <si>
    <t>Price_Premium_pct</t>
  </si>
  <si>
    <t>Investment_Net_New_plt</t>
  </si>
  <si>
    <t>Converting_pct*OptionWar_Exercise_Amt["Phases.Post_Sales"]</t>
  </si>
  <si>
    <t>Payout %</t>
  </si>
  <si>
    <t>max(0, Price_Unit_Conv["Securities.Common"]-OptionWar_Exercise_Price)</t>
  </si>
  <si>
    <t>Convert_Liq_Premium_pct["Securities.Conv_Note.Series_B"]|=0.2</t>
  </si>
  <si>
    <t>:A:-1:Dividend_Common</t>
  </si>
  <si>
    <t>Rounds, Phases.Convert</t>
  </si>
  <si>
    <t>IRR_Initial_Guess_Yr["Securities.Conv_Note.Series_A"]|=0.50</t>
  </si>
  <si>
    <t>Payout_by_Origin_pct</t>
  </si>
  <si>
    <t>:D:0:Rounds</t>
  </si>
  <si>
    <t>:A:0:Payout_by_Origin</t>
  </si>
  <si>
    <t>Investment_Net/Price_Unit_Start/(1-Price_Premium_pct)</t>
  </si>
  <si>
    <t>Rounds, Securities, Convert_Conditions.Trigger_Invest</t>
  </si>
  <si>
    <t>:A:0:Scenarios_Invest_Dim</t>
  </si>
  <si>
    <t>Investment_New_Sc0["Securities.Common", "Rounds.Exit"]|=0</t>
  </si>
  <si>
    <t>:D:0:Convert_Conditions</t>
  </si>
  <si>
    <t>Liq_Multiple["Securities.Option.Series_A"]|=0</t>
  </si>
  <si>
    <t>Investment_New_Sc0["Securities.Conv_Note.Series_A", "Rounds.Seed"]|=0</t>
  </si>
  <si>
    <t>Split Factor</t>
  </si>
  <si>
    <t>:A:0:Dividend_by_Origin</t>
  </si>
  <si>
    <t>Converting_pct["Securities.Conv_Note.Series_B", "Rounds.Round_A"]|=C44</t>
  </si>
  <si>
    <t>Annualized discount rates used in computation of present values of investor cash flows</t>
  </si>
  <si>
    <t>:A:-1:Scenarios_Value_Dim</t>
  </si>
  <si>
    <t>Investment_Net["Phases.Post_Sales"]-Investment_Net["Phases.Convert"]</t>
  </si>
  <si>
    <t>:A:0:Convert_Trigger_Value_pct</t>
  </si>
  <si>
    <t>:D:2:Phases</t>
  </si>
  <si>
    <t>Invest_by_Origin_Common_plt</t>
  </si>
  <si>
    <t>Units_New_Sc0["Securities.Option.Series_B", "Rounds.Exit"]|=0/3/10</t>
  </si>
  <si>
    <t>Shares_Common_by_Origin</t>
  </si>
  <si>
    <t>:A:0:Invest_by_Origin_exDiv_LastRnd</t>
  </si>
  <si>
    <t>The amount of new liquidiation preference that is due to each class of security (before anything is paid to holders of junior securities, in the event of liquidiation), at the last phase (End) of each round</t>
  </si>
  <si>
    <t>Convert_Trigger_Date["Securities.Common"]|=date(2011,4,1)</t>
  </si>
  <si>
    <t>Invest by Origin ex-Div</t>
  </si>
  <si>
    <t>prevde(0, "Rounds", Lastd("Phases", Units_Net))*Split_Factor_Start</t>
  </si>
  <si>
    <t xml:space="preserve">  Start</t>
  </si>
  <si>
    <t>diminfo("Securities", 7, ", ")</t>
  </si>
  <si>
    <t>Common</t>
  </si>
  <si>
    <t>Payout by Origin</t>
  </si>
  <si>
    <t>Liq_Multiple["Securities.Warrant"]|=0</t>
  </si>
  <si>
    <t>Dividend_pct_Yr["Securities.Common"]|=0</t>
  </si>
  <si>
    <t>Units_New_Sc0["Securities.Conv_Note.Series_A", "Rounds.Round_A"]|=0/3/10</t>
  </si>
  <si>
    <t>Discount_Rate_Yr["Securities.Option.Series_B"]|=0.30</t>
  </si>
  <si>
    <t>:D:0:Securities.Option.Series_A</t>
  </si>
  <si>
    <t>if((prevde(0, "Rounds", Investment_Net["Phases.End"])+Dividend+Investment_New)/(1+Price_Premium_pct)&gt;(1+Convert_Liq_Premium_pct)*prevde(0, "Rounds", Liq_Preference_End)+Investment_New*Liq_Multiple, 1, 0)</t>
  </si>
  <si>
    <t>:A:0:Liq_Preference_EndLast</t>
  </si>
  <si>
    <t>ifm(isleafd("Rounds"), if(sum(rangedru("Securities", Units_New))=0, 0, sumproduct(rangedru("Securities", Price_Unit_Start), rangedru("Securities", Units_New))/sum(rangedru("Securities", Units_New))), "")</t>
  </si>
  <si>
    <t>Types of securities, used for plotting</t>
  </si>
  <si>
    <t>Scenarios_Value_Dim</t>
  </si>
  <si>
    <t>Discount_Rate_Yr["Securities.Conv_Note.Series_A"]|=0.30</t>
  </si>
  <si>
    <t>Investment_New_Sc0["Securities.Preferred.Series_A", "Rounds.Round_A"]|=0</t>
  </si>
  <si>
    <t>Investment_New</t>
  </si>
  <si>
    <t xml:space="preserve">  Round_A</t>
  </si>
  <si>
    <t>Rounds, Securities.Warrant, Convert_Conditions.Trigger_Price</t>
  </si>
  <si>
    <t xml:space="preserve">  Trigger_Price</t>
  </si>
  <si>
    <t>Invest End Round Options</t>
  </si>
  <si>
    <t>OptionWar_Exercise_Amt["Phases.Post_Sales"]-OptionWar_Exercise_Amt["Phases.Convert"]</t>
  </si>
  <si>
    <t>""</t>
  </si>
  <si>
    <t>Rounds, Phases.New_Sales, Securities.Common</t>
  </si>
  <si>
    <t>Cumulative gross investment held in warrants at the end of each investment round. Includes dividends. Used for plotting.</t>
  </si>
  <si>
    <t>Rounds, Phases.New_Sales, Securities.Warrant</t>
  </si>
  <si>
    <t>Securities, Rounds</t>
  </si>
  <si>
    <t>Invest End Round Preferred</t>
  </si>
  <si>
    <t>The amount of funds that would be paid to each type of security if liquidation occurs at the end of the last investment round. Warrants and options are exercised if they are in the money. The common payout pool covers common shares, including exercised warrants and options.</t>
  </si>
  <si>
    <t>:D:2:Convert_Conditions.Trigger_Date</t>
  </si>
  <si>
    <t>Maximum fraction of the value of a firm that can be in senior securities in order that a series of convertible securities converts. (Other conversion criteria involve dates and minimum equity funding raised by the company.)</t>
  </si>
  <si>
    <t>Cash flows used to compute present values and internal rates of return for each series and type of security. Includes founders non-cash contributions in the first round and payouts in the last round.</t>
  </si>
  <si>
    <t>Liq Multiple</t>
  </si>
  <si>
    <t>Share Price</t>
  </si>
  <si>
    <t>Liq_Multiple</t>
  </si>
  <si>
    <t>Firm_Value</t>
  </si>
  <si>
    <t xml:space="preserve">  Trigger_Invest</t>
  </si>
  <si>
    <t>Dividend in kind for convertible notes (before conversion), preferred stock (before conversion), and common stock, paid at start of lsat investment round. The dividends are segmented by the original type and series of security whose purchase earned the dividend (not by the current type and series of security that earned the dividend).</t>
  </si>
  <si>
    <t>Investment_by_Origin["Securities.Preferred", "Phases.End"]</t>
  </si>
  <si>
    <t xml:space="preserve">  Trigger_Value_pct</t>
  </si>
  <si>
    <t>Price at which new warrants and options are purchased. Warrant and option prices are based on current stock price, ignoring the variance of stock price over time.</t>
  </si>
  <si>
    <t>Invest_by_Origin_exDiv</t>
  </si>
  <si>
    <t>Minimum amount of equity capital that the company must raise before securities can be converted or exercised to obtain common stock. An amount greater than the capitalization of the company indicates that the security cannot be converted (or exercised).</t>
  </si>
  <si>
    <t>Investment_by_Origin</t>
  </si>
  <si>
    <t>Number of common shares that originated from conversion or exercise of each type of security or sale of common shares, recorded at the end of each investment round</t>
  </si>
  <si>
    <t>Price_Unit_New_pct</t>
  </si>
  <si>
    <t>Dividend in kind for convertible notes (before conversion), preferred stock (before conversion), and common stock, paid at start of each investment round</t>
  </si>
  <si>
    <t>Price_Unit_New</t>
  </si>
  <si>
    <t>Investment_Net_End_plt</t>
  </si>
  <si>
    <t>Plot Support'!Invest_by_Origin_Conv_plt</t>
  </si>
  <si>
    <t>:A:0:Return_Multiple</t>
  </si>
  <si>
    <t>:A:0:OptionWar_in_Money</t>
  </si>
  <si>
    <t>:D:0:Rounds.Seed</t>
  </si>
  <si>
    <t xml:space="preserve">  Seed</t>
  </si>
  <si>
    <t>Series B</t>
  </si>
  <si>
    <t>:A:-1:Price_Unit_Start</t>
  </si>
  <si>
    <t>Date of each investment round</t>
  </si>
  <si>
    <t>Split_Factor_Start["Rounds.Round_A"]|=1</t>
  </si>
  <si>
    <t>IRR_XIRR_Yr</t>
  </si>
  <si>
    <t>Factor by which common shares are split before the start of each investment round</t>
  </si>
  <si>
    <t>Payout_Pool_End</t>
  </si>
  <si>
    <t>Units_Net["Phases.New_Sales"]*Price_Unit_New</t>
  </si>
  <si>
    <t>Investment Scenarios</t>
  </si>
  <si>
    <t>:A:-1:Payout_Pool_End</t>
  </si>
  <si>
    <t>The amount of liquidiation preference that is due to each class of security (before anything is paid to holders of junior securities, in the event of liquidiation), at the last phase (End) of  the last round</t>
  </si>
  <si>
    <t>Convert_Liq_Premium_pct["Securities.Preferred.Series_A"]|=-0.2</t>
  </si>
  <si>
    <t>Converting_pct["Securities.Option.Series_B", "Rounds.Seed"]|=B51</t>
  </si>
  <si>
    <t>max(0, (Dividend+Investment_Net["Phases.New_Sales"])*Liq_Multiple)</t>
  </si>
  <si>
    <t>Conversion_Decisions_Detail</t>
  </si>
  <si>
    <t>Plot Support'!Invest_End_Opt_plt</t>
  </si>
  <si>
    <t>Converting_pct["Securities.Preferred.Series_A", "Rounds.Exit"]|=D47</t>
  </si>
  <si>
    <t>Investment_New_Sc0["Securities.Conv_Note.Series_A", "Rounds.Round_A"]|=0</t>
  </si>
  <si>
    <t>Lastd("Rounds", Payout_by_Origin_pct)</t>
  </si>
  <si>
    <t>var(if(Event_Date&gt;=Convert_Trigger_Date, 1, 0))</t>
  </si>
  <si>
    <t>Dividend_Common*prevde(0, "Rounds", Shares_Common_by_Origin/Lastd("Phases", Units_Net["Securities.Common"]))</t>
  </si>
  <si>
    <t>:A:-1:Firm_Value</t>
  </si>
  <si>
    <t>Rounds, Phases.Convert, Securities</t>
  </si>
  <si>
    <t>:D:1:Securities.Option</t>
  </si>
  <si>
    <t>ConvNote_Discount_pct["Securities.Conv_Note.Series_B"]|=0.30</t>
  </si>
  <si>
    <t>:A:-1:Shares_Common_by_Origin</t>
  </si>
  <si>
    <t>IRR_Initial_Guess_Yr["Securities.Common"]|=0.50</t>
  </si>
  <si>
    <t xml:space="preserve">  Post_Sales</t>
  </si>
  <si>
    <t>if(OptionWar_Exercise_Price&lt;Price_Unit_Conv["Securities.Common"], 1, 0)</t>
  </si>
  <si>
    <t>Warrant</t>
  </si>
  <si>
    <t>:A:-1:Conversion_Decisions_Default</t>
  </si>
  <si>
    <t>:A:0:Dividend</t>
  </si>
  <si>
    <t>ifm(isleafd("Rounds"), sum(rangedru("Securities", IRR_Cash_Flow)), "")</t>
  </si>
  <si>
    <t>Units_New_Sc0["Securities.Conv_Note.Series_B", "Rounds.Exit"]|=0/3/10</t>
  </si>
  <si>
    <t>Units_New_Sc0["Securities.Warrant", "Rounds.Exit"]|=0/3/5</t>
  </si>
  <si>
    <t>:A:-1:Invest_End_Conv_plt</t>
  </si>
  <si>
    <t>:A:0:Firm_Value_Start</t>
  </si>
  <si>
    <t>Converting_pct["Securities.Conv_Note.Series_A", "Rounds.Exit"]|=D45</t>
  </si>
  <si>
    <t>:D:2:Convert_Conditions</t>
  </si>
  <si>
    <t>Price_Premium_pct["Securities.Option.Series_B", "Rounds.Round_A"]|=B42</t>
  </si>
  <si>
    <t>:A:-1:Liq_Preference_EndLast</t>
  </si>
  <si>
    <t>:A:-1:Price_Premium_pct</t>
  </si>
  <si>
    <t>Total</t>
  </si>
  <si>
    <t>Converting_pct["Securities.Conv_Note.Series_A", "Rounds.Round_A"]|=C45</t>
  </si>
  <si>
    <t>:A:-1:Payout_End_pct</t>
  </si>
  <si>
    <t>Plot Support'!Invest_by_Origin_War_plt</t>
  </si>
  <si>
    <t>Display Label</t>
  </si>
  <si>
    <t>Converting_pct["Securities.Warrant", "Rounds.Exit"]|=D49</t>
  </si>
  <si>
    <t>:A:-1:Conversion_Decisions_Detail</t>
  </si>
  <si>
    <t>Invest_End_Opt_plt</t>
  </si>
  <si>
    <t>:A:-1:Invest_by_Origin_exDiv</t>
  </si>
  <si>
    <t>:D:0:Securities.Common</t>
  </si>
  <si>
    <t>Cumulative gross investment held in convertible notes, for each investment round. Used for plotting.</t>
  </si>
  <si>
    <t>:A:-1:Payout_by_Origin_pct</t>
  </si>
  <si>
    <t>Plot Support'!Rounds_plt</t>
  </si>
  <si>
    <t>Price_Premium_pct["Securities.Preferred.Series_A", "Rounds.Round_A"]|=B50</t>
  </si>
  <si>
    <t>:A:0:Price_Unit_Start</t>
  </si>
  <si>
    <t>Invest_End_Common_plt</t>
  </si>
  <si>
    <t>Firm_Value_Start_Sc0["Rounds.Seed"]|=1000000</t>
  </si>
  <si>
    <t>OptionWar_in_Money/(Lastd("Phases", Units_Net["Securities.Common"])+OptionWar_in_Money["Securities"])*Payout_Pool_End["Securities.Common"]</t>
  </si>
  <si>
    <t>Common Shares by Origin</t>
  </si>
  <si>
    <t>Rounds, Securities, Convert_Conditions</t>
  </si>
  <si>
    <t>:A:-1:Invest_by_Origin_Opt_plt</t>
  </si>
  <si>
    <t>The discount percent on prevailing common share price that accrue to holders of each series of convertible security at the time of conversion or exercise. This discount is a reward for investing early when the risk was presumed higher.</t>
  </si>
  <si>
    <t>Dividend_by_Origin_Last</t>
  </si>
  <si>
    <t>Units_New_Sc0["Securities.Warrant", "Rounds.Seed"]|=0/3/5</t>
  </si>
  <si>
    <t>Converting_pct["Securities.Preferred.Series_A", "Rounds.Round_A"]|=C47</t>
  </si>
  <si>
    <t>:D:2:Rounds.Seed</t>
  </si>
  <si>
    <t>Dividend_by_Origin</t>
  </si>
  <si>
    <t>Price_Premium_pct["Securities.Common", "Rounds.Round_A"]|=B39</t>
  </si>
  <si>
    <t>:D:0:Phases.Convert</t>
  </si>
  <si>
    <t>Investment_by_Origin["Securities.Warrant", "Phases.End"]</t>
  </si>
  <si>
    <t>:A:0:Invest_by_Origin_Common_plt</t>
  </si>
  <si>
    <t>:A:-1:OptionWar_Exercise_Price</t>
  </si>
  <si>
    <t>Variable</t>
  </si>
  <si>
    <t>:D:0:Convert_Conditions.Trigger_Price</t>
  </si>
  <si>
    <t>:D:0:Convert_Conditions.Trigger_Date</t>
  </si>
  <si>
    <t>End</t>
  </si>
  <si>
    <t>Liq Preference</t>
  </si>
  <si>
    <t>Firm_Value["Phases.End"]</t>
  </si>
  <si>
    <t>OptionWar_Exercise_Amt</t>
  </si>
  <si>
    <t>Convert_Trigger_Date["Securities.Option.Series_B"]|=date(2011,4,1)</t>
  </si>
  <si>
    <t>Price_Unit_New_pct["Securities.Option.Series_A"]|=1</t>
  </si>
  <si>
    <t>:A:-1:Payout_End</t>
  </si>
  <si>
    <t>Lastd("Rounds", Payout_by_Origin)</t>
  </si>
  <si>
    <t>:A:0:Shares_Common_by_Origin</t>
  </si>
  <si>
    <t>Rounds, Securities.Preferred, Convert_Conditions.Trigger_Value_pct</t>
  </si>
  <si>
    <t>:A:-1:Price_Unit_New_pct</t>
  </si>
  <si>
    <t>Plot Support'!Firm_Value_Start</t>
  </si>
  <si>
    <t>IRR_Initial_Guess_Yr["Securities.Option.Series_A"]|=0.50</t>
  </si>
  <si>
    <t>Rounds, Phases.New_Sales, Securities.Option</t>
  </si>
  <si>
    <t>Units_Net["Phases.Post_Sales"]+Units_Net["Phases.Convert", "Securities"]</t>
  </si>
  <si>
    <t>Rounds, Securities.Option, Convert_Conditions.Trigger_Price</t>
  </si>
  <si>
    <t>Convert_Trigger_Value_pct["Securities.Option.Series_A"]|=0.50</t>
  </si>
  <si>
    <t>min(Payout_Pool_End, max(Liq_Preference_End, Lastd("Phases", Units_Net)*Price_Unit_Conv["Securities.Common"]))</t>
  </si>
  <si>
    <t>ifm(isleafd("Rounds"), sum(rangedru("Securities", Payout_End)), "")</t>
  </si>
  <si>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t>
  </si>
  <si>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t>
  </si>
  <si>
    <t>:D:0:Securities.Warrant</t>
  </si>
  <si>
    <t>Invest_by_Origin_Opt_plt</t>
  </si>
  <si>
    <t>:A:0:Dividend_pct_Yr</t>
  </si>
  <si>
    <t xml:space="preserve">    Series_B</t>
  </si>
  <si>
    <t>Preferred</t>
  </si>
  <si>
    <t>:D:0:Phases.New_Sales</t>
  </si>
  <si>
    <t>lastd("Rounds", Dividend_by_Origin)</t>
  </si>
  <si>
    <t>:D:0:Phases.Start</t>
  </si>
  <si>
    <t>Payout_EndLast</t>
  </si>
  <si>
    <t>ConvNote_Discount_pct["Securities.Conv_Note.Series_A"]|=0.30</t>
  </si>
  <si>
    <t xml:space="preserve">  Preferred</t>
  </si>
  <si>
    <t>Convert_Trigger_Value_pct["Securities.Conv_Note.Series_B"]|=0.50</t>
  </si>
  <si>
    <t>Rounds, Phases.End, Securities</t>
  </si>
  <si>
    <t>:A:-1:IRR_XIRR_Yr</t>
  </si>
  <si>
    <t>:A:0:Convert_Trigger_Date</t>
  </si>
  <si>
    <t>Convert_Trigger_Date["Securities.Conv_Note.Series_B"]|=date(2011,4,1)</t>
  </si>
  <si>
    <t>Investment_New_Sc0["Securities.Conv_Note.Series_B", "Rounds.Exit"]|=0</t>
  </si>
  <si>
    <t>Net New Invest</t>
  </si>
  <si>
    <t>:D:0:Securities.Conv_Note.Series_B</t>
  </si>
  <si>
    <t>Converting_pct["Securities.Option.Series_B", "Rounds.Exit"]|=D51</t>
  </si>
  <si>
    <t>:A:-1:Split_Factor_Start</t>
  </si>
  <si>
    <t>Units_Net["Phases.Post_Sales"]-Units_Net["Phases.Convert"]</t>
  </si>
  <si>
    <t>:A:0:Payout_End</t>
  </si>
  <si>
    <t>Discount_Rate_Yr</t>
  </si>
  <si>
    <t>Cumulative gross investment in options, for each investment round. Used for plotting.</t>
  </si>
  <si>
    <t>:A:-1:Firm_Value_End</t>
  </si>
  <si>
    <t>Convert_Trigger_Invest_Amt["Securities.Option.Series_B"]|=1500000</t>
  </si>
  <si>
    <t>Plot Support'!Invest_End_Common_plt</t>
  </si>
  <si>
    <t>IRR_Initial_Guess_Yr["Securities.Option.Series_B"]|=0.50</t>
  </si>
  <si>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t>
  </si>
  <si>
    <t>(Ranges)'!Return_Multiple</t>
  </si>
  <si>
    <t>Price_Unit_New["Securities.Option.Series_B", "Rounds.Round_A"]|=max(0, B91*Prices!C18+B91*(-B101))</t>
  </si>
  <si>
    <t>Number of unexercised warrants and options that are in the money in phase End, for each investment round. Used in variable Payout in denominators of formulas.</t>
  </si>
  <si>
    <t>Invest_by_Origin_exDiv_LastRnd</t>
  </si>
  <si>
    <t>Dividend_pct_Yr["Securities.Conv_Note.Series_B"]|=0.04</t>
  </si>
  <si>
    <t>Price Premium %</t>
  </si>
  <si>
    <t>prevde(0, "Rounds", Lastd("Phases", Investment_by_Origin))+Dividend</t>
  </si>
  <si>
    <t>Comment</t>
  </si>
  <si>
    <t>Units_New_Sc0["Securities.Option.Series_B", "Rounds.Seed"]|=0/3/10</t>
  </si>
  <si>
    <t>Convert_Trigger_Date</t>
  </si>
  <si>
    <t>Converting_pct["Securities.Option.Series_A", "Rounds.Exit"]|=D52</t>
  </si>
  <si>
    <t>Investment_by_Origin["Phases.New_Sales"]+Investment_by_Origin["Phases.Convert"]+var(ifm(dimitemnum("Rounds", 0)=1, 0*0, 0))-if(iserror(nextd("Rounds", Payout_by_Origin)), lastd("Phases", Payout_by_Origin), 0)</t>
  </si>
  <si>
    <t>Invest by Origin ex-Dividend</t>
  </si>
  <si>
    <t>Converting_pct*Investment_Net["Phases.Post_Sales"]</t>
  </si>
  <si>
    <t>Conversion Decisions Detail</t>
  </si>
  <si>
    <t>:A:0:Investment_Net_New_plt</t>
  </si>
  <si>
    <t xml:space="preserve">  Conv_Note</t>
  </si>
  <si>
    <t>Convert_Trigger_Invest_Amt["Securities.Warrant"]|=1500000</t>
  </si>
  <si>
    <t>Firm_Value_Start_Sc0</t>
  </si>
  <si>
    <t xml:space="preserve">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t>
  </si>
  <si>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t>
  </si>
  <si>
    <t>Converting_pct*Investment_Net["Phases.Post_Sales"]/var(Price_Unit_Conv["Securities.Common"])/(1-ConvNote_Discount_pct)</t>
  </si>
  <si>
    <t>Convert_Trigger_Date["Securities.Preferred.Series_A"]|=date(2011,4,1)</t>
  </si>
  <si>
    <t>Price_Unit_New["Securities.Preferred.Series_A", "Rounds.Seed"]|='(Other Variables)'!B23</t>
  </si>
  <si>
    <t>Converting_pct["Securities.Conv_Note.Series_A", "Rounds.Seed"]|=B45</t>
  </si>
  <si>
    <t>Net Investment</t>
  </si>
  <si>
    <t>Cumulative gross investment held in preferred stock at the end of each investment round. Includes dividends. Used for plotting.</t>
  </si>
  <si>
    <t>Price_Unit_New["Securities.Preferred.Series_A", "Rounds.Exit"]|='(Other Variables)'!D23</t>
  </si>
  <si>
    <t>:A:-1:Liq_Preference_New</t>
  </si>
  <si>
    <t>:A:0:Payout_End_pct</t>
  </si>
  <si>
    <t>Investment_New_Sc0</t>
  </si>
  <si>
    <t>-xnpv(Discount_Rate_Yr, ranged("Rounds", IRR_Cash_Flow), ranged("Rounds", Event_Date))</t>
  </si>
  <si>
    <t>Investment by Origin</t>
  </si>
  <si>
    <t>Invest_End_War_plt</t>
  </si>
  <si>
    <t>Invest by Origin Common</t>
  </si>
  <si>
    <t>Price_Unit_New["Securities.Warrant", "Rounds.Round_A"]|=max(0, Boneyard!D26*C18+Boneyard!D26*(-'(Other Variables)'!B12))</t>
  </si>
  <si>
    <t xml:space="preserve">  Warrant</t>
  </si>
  <si>
    <t>Firstd("Phases", Investment_Net)+Investment_Net["Phases.New_Sales"]</t>
  </si>
  <si>
    <t>Investment_by_Origin["Phases.Post_Sales"]+Investment_by_Origin["Phases.Convert"]</t>
  </si>
  <si>
    <t>:WS:Output Advanced</t>
  </si>
  <si>
    <t>Investment_Net["Phases.End"]</t>
  </si>
  <si>
    <t>Exercise Price</t>
  </si>
  <si>
    <t>:A:0:Price_Common_Init</t>
  </si>
  <si>
    <t>Investment_Net</t>
  </si>
  <si>
    <t>Price_Unit_New["Securities.Common", "Rounds.Round_A"]|='(Other Variables)'!C25</t>
  </si>
  <si>
    <t>OptionWar_in_Money</t>
  </si>
  <si>
    <t>Cumulative gross investment in warrants, for each investment round. Used for plotting.</t>
  </si>
  <si>
    <t>Discount Rate (Yr)</t>
  </si>
  <si>
    <t>Investment_New_Sc0["Securities.Warrant", "Rounds.Exit"]|=0</t>
  </si>
  <si>
    <t>:A:0:Payout_EndLast_pct</t>
  </si>
  <si>
    <t>Converting_pct["Securities.Conv_Note.Series_B", "Rounds.Exit"]|=D44</t>
  </si>
  <si>
    <t>Cumulative gross investment in options held at the end of each investment round. Used for plotting.</t>
  </si>
  <si>
    <t>IRR_Initial_Guess_Yr["Securities.Conv_Note.Series_B"]|=0.50</t>
  </si>
  <si>
    <t>Units_New_Sc0["Securities.Common", "Rounds.Seed"]|=0/3/5</t>
  </si>
  <si>
    <t>Price_Unit_Conv</t>
  </si>
  <si>
    <t>:D:0:Phases.End</t>
  </si>
  <si>
    <t xml:space="preserve">  New_Sales</t>
  </si>
  <si>
    <t>Investment_Net["Phases.Post_Sales"]+Investment_Net["Securities", "Phases.Convert"]+OptionWar_Exercise_Amt["Securities", "Phases.Convert"]</t>
  </si>
  <si>
    <t>Convert_Liq_Premium_pct["Securities.Common"]|=0</t>
  </si>
  <si>
    <t>Investment_by_Origin["Securities.Option", "Phases.End"]</t>
  </si>
  <si>
    <t>max(0, Price_Unit_New_pct*(var(Price_Unit_New["Securities.Common"])-OptionWar_Exercise_Price))</t>
  </si>
  <si>
    <t>:A:-1:ConvNote_Discount_pct</t>
  </si>
  <si>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t>
  </si>
  <si>
    <t>:D:-1:Phases</t>
  </si>
  <si>
    <t>Investment_New_Sc0["Securities.Option.Series_B", "Rounds.Exit"]|=0</t>
  </si>
  <si>
    <t>Cumulative gross investment in convertible notes, for each investment round. Used for plotting.</t>
  </si>
  <si>
    <t>Price_Premium_pct["Securities.Warrant", "Rounds.Round_A"]|=B40</t>
  </si>
  <si>
    <t>Funds paid out that are imputed (if paid) to original investments in each type of security, at the end of each investment round. Warrants and options are exercised if they are in the money. The common payout pool covers common shares, including exercised warrants and options.</t>
  </si>
  <si>
    <t>Subtotal</t>
  </si>
  <si>
    <t>:A:-1:Investment_Net_End_plt</t>
  </si>
  <si>
    <t>Convert_Liq_Premium_pct["Securities.Conv_Note.Series_A"]|=0.2</t>
  </si>
  <si>
    <t>Dividend_Common["Rounds.Round_A"]|=0/3</t>
  </si>
  <si>
    <t>Liq Preference New</t>
  </si>
  <si>
    <t>:D:1:Securities.Conv_Note</t>
  </si>
  <si>
    <t>Units_New_Sc0</t>
  </si>
  <si>
    <t>Units_New_Sc0["Securities.Conv_Note.Series_B", "Rounds.Round_A"]|=0/3/10</t>
  </si>
  <si>
    <t>Firm value at End of each investment round. Used in plotting.</t>
  </si>
  <si>
    <t>Investment_Net["Securities.Option", "Phases.End"]</t>
  </si>
  <si>
    <t>Exercise price for each class of stock option. Upon exercise of a warrant or option, the holder pays the exercise price to the company in cash, which amount is added to Investment by Origin for the warrant or option, and added to Net Investment for common stock.</t>
  </si>
  <si>
    <t>:A:-1:Investment_New</t>
  </si>
  <si>
    <t>lastd("Rounds", Payout_End_pct)</t>
  </si>
  <si>
    <t>Rounds, Securities.Conv_Note, Convert_Conditions.Liquidation</t>
  </si>
  <si>
    <t>Rounds_plt</t>
  </si>
  <si>
    <t>:A:0:Invest_by_Origin_Conv_plt</t>
  </si>
  <si>
    <t>Data:</t>
  </si>
  <si>
    <t>Dividend Common</t>
  </si>
  <si>
    <t>Investment_New_Sc0["Securities.Option.Series_A", "Rounds.Seed"]|=0</t>
  </si>
  <si>
    <t>Rounds, Securities.Common, Convert_Conditions</t>
  </si>
  <si>
    <t>Payout_End+if(Lastd("Phases", Units_Net["Securities.Common"])=0, 0, Shares_Common_by_Origin/Lastd("Phases", Units_Net["Securities.Common"])*Payout_End["Securities.Common"])</t>
  </si>
  <si>
    <t>Price_Unit_New["Securities.Warrant", "Rounds.Exit"]|=max(0, Boneyard!D26*D18+Boneyard!D26*(-'(Other Variables)'!B12))</t>
  </si>
  <si>
    <t>Price_Premium_pct["Securities.Warrant", "Rounds.Exit"]|=C40</t>
  </si>
  <si>
    <t>Rounds, Phases.Convert, Securities.Conv_Note</t>
  </si>
  <si>
    <t>Price_Premium_pct["Securities.Option.Series_A", "Rounds.Exit"]|=C43</t>
  </si>
  <si>
    <t>Lastd("Rounds", Invest_by_Origin_exDiv)</t>
  </si>
  <si>
    <t>Converting_pct["Securities.Common", "Rounds.Round_A"]|=C48</t>
  </si>
  <si>
    <t>:A:-1:Company_Name</t>
  </si>
  <si>
    <t>Investment_New_Sc0["Securities.Option.Series_B", "Rounds.Round_A"]|=0</t>
  </si>
  <si>
    <t>Rounds, Phases.New_Sales, Securities.Preferred</t>
  </si>
  <si>
    <t>Dividend</t>
  </si>
  <si>
    <t>Rounds, Phases.Post_Sales, Securities</t>
  </si>
  <si>
    <t>Event Date</t>
  </si>
  <si>
    <t>diminfo("Rounds", 7, ", ")</t>
  </si>
  <si>
    <t>Converting_pct["Securities.Warrant", "Rounds.Seed"]|=B49</t>
  </si>
  <si>
    <t>Liq_Preference_EndLast</t>
  </si>
  <si>
    <t>:A:0:Payout_Pool_End</t>
  </si>
  <si>
    <t>Liquidation</t>
  </si>
  <si>
    <t>Rounds, Securities.Conv_Note</t>
  </si>
  <si>
    <t>Price_Unit_New_pct["Securities.Common"]|=1</t>
  </si>
  <si>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t>
  </si>
  <si>
    <t>Invest_by_Origin_exDiv["Phases.Post_Sales"]+Invest_by_Origin_exDiv["Phases.Convert"]</t>
  </si>
  <si>
    <t>Price_Unit_New_pct["Securities.Warrant"]|=1</t>
  </si>
  <si>
    <t>:D:2:Securities</t>
  </si>
  <si>
    <t>:A:0:Invest_End_Opt_plt</t>
  </si>
  <si>
    <t>Event_Date_Sc0["Rounds.Round_A"]|=date(2010, 11*2-3, 1)</t>
  </si>
  <si>
    <t>:A:0:Securities_plt</t>
  </si>
  <si>
    <t>Firm Value</t>
  </si>
  <si>
    <t>Scenarios_Invest</t>
  </si>
  <si>
    <t>Payout by Origin %</t>
  </si>
  <si>
    <t>Initial common share price at the start of the seed round</t>
  </si>
  <si>
    <t xml:space="preserve">  End</t>
  </si>
  <si>
    <t>Converting_pct["Securities.Conv_Note.Series_B", "Rounds.Seed"]|=B44</t>
  </si>
  <si>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t>
  </si>
  <si>
    <t>:D:2:Securities.Conv_Note</t>
  </si>
  <si>
    <t>Investment_New_Sc0["Securities.Conv_Note.Series_A", "Rounds.Exit"]|=0</t>
  </si>
  <si>
    <t>Investment_Net["Securities.Preferred", "Phases.End"]</t>
  </si>
  <si>
    <t>Firstd("Phases", Units_Net)+Units_Net["Phases.New_Sales"]</t>
  </si>
  <si>
    <t>:A:-1:Price_Unit_New</t>
  </si>
  <si>
    <t>prevde(0, "Rounds", Lastd("Phases", OptionWar_Exercise_Amt))</t>
  </si>
  <si>
    <t>ConvNote_Discount_pct["Securities.Warrant"]|=0</t>
  </si>
  <si>
    <t>XIRR(ranged("Rounds", IRR_Cash_Flow), ranged("Rounds", Event_Date), IRR_Initial_Guess_Yr)</t>
  </si>
  <si>
    <t>Rounds, Phases.End</t>
  </si>
  <si>
    <t>Dividend_pct_Yr</t>
  </si>
  <si>
    <t>Split_Factor_Start["Rounds.Seed"]|=1</t>
  </si>
  <si>
    <t>:A:-1:Investment_Net</t>
  </si>
  <si>
    <t>Rounds, Phases.Start</t>
  </si>
  <si>
    <t>Investment_New_Sc0["Securities.Common", "Rounds.Round_A"]|=0</t>
  </si>
  <si>
    <t>Phases</t>
  </si>
  <si>
    <t>The transaction phases within each funding round. The phases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Dividends are paid and splits occur between rounds, and are included in Start totals.</t>
  </si>
  <si>
    <t>New Units Sold</t>
  </si>
  <si>
    <t>Liq Premium %</t>
  </si>
  <si>
    <t>Rounds, Phases.New_Sales, Securities</t>
  </si>
  <si>
    <t>:D:0:Convert_Conditions.Trigger_Invest</t>
  </si>
  <si>
    <t xml:space="preserve">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
  </si>
  <si>
    <t>Liq_Multiple["Securities.Conv_Note.Series_A"]|=1</t>
  </si>
  <si>
    <t>Split_Factor_Start["Rounds.Exit"]|=1</t>
  </si>
  <si>
    <t>lastd("Rounds", Payout_End)</t>
  </si>
  <si>
    <t>Dividend_Common["Rounds.Exit"]|=0/3</t>
  </si>
  <si>
    <t>IRR (Yr)</t>
  </si>
  <si>
    <t>Dividend_pct_Yr["Securities.Option.Series_B"]|=0</t>
  </si>
  <si>
    <t>Dividend_pct_Yr["Securities.Conv_Note.Series_A"]|=0.04</t>
  </si>
  <si>
    <t>Price_Premium_pct["Securities.Conv_Note.Series_A", "Rounds.Round_A"]|=B36</t>
  </si>
  <si>
    <t>:D:2:Phases.Start</t>
  </si>
  <si>
    <t>Event_Date</t>
  </si>
  <si>
    <t>Price_Premium_pct["Securities.Common", "Rounds.Seed"]|=0</t>
  </si>
  <si>
    <t>Investment_Net["Securities.Common", "Phases.End"]</t>
  </si>
  <si>
    <t>:A:-1:IRR_Cash_Flow</t>
  </si>
  <si>
    <t>Plot Support'!Investment_Net_New_plt</t>
  </si>
  <si>
    <t>:A:0:Price_Unit_New</t>
  </si>
  <si>
    <t>:A:0:Investment_Net_End_plt</t>
  </si>
  <si>
    <t>:A:0:Scenarios_Value_Dim</t>
  </si>
  <si>
    <t>Price_Unit_New_pct["Securities.Option.Series_B"]|=1</t>
  </si>
  <si>
    <t>:A:-1:Units_Net</t>
  </si>
  <si>
    <t>Rounds, Securities, Convert_Conditions.Trigger_Date</t>
  </si>
  <si>
    <t>Converting_pct["Securities.Common", "Rounds.Exit"]|=D48</t>
  </si>
  <si>
    <t>The amount of liquidiation preference that is due to each class of security (before anything is paid to holders of junior securities, in the event of liquidiation), at the last phase (End) of each round</t>
  </si>
  <si>
    <t>Investment!Event_Date</t>
  </si>
  <si>
    <t>Return Multiple</t>
  </si>
  <si>
    <t>:A:0:Investment_New_Sc0</t>
  </si>
  <si>
    <t>:A:-1:Invest_by_Origin_Conv_plt</t>
  </si>
  <si>
    <t>Converting_pct["Securities.Preferred.Series_A", "Rounds.Seed"]|=B47</t>
  </si>
  <si>
    <t>Price_Premium_pct["Securities.Conv_Note.Series_B", "Rounds.Seed"]|=0</t>
  </si>
  <si>
    <t>Convert_Trigger_Value_pct["Securities.Warrant"]|=0.50</t>
  </si>
  <si>
    <t>Plot Support'!Invest_End_War_plt</t>
  </si>
  <si>
    <t>New investments due to sale of new convertible notes, preferred and common shares, by investment round; investment scenario 1. New warrants and options are tracked in variable Shares_New because they are specified by number of new shares, not new investment.</t>
  </si>
  <si>
    <t>:A:0:Investment_New</t>
  </si>
  <si>
    <t>:A:-1:Price_Unit_Conv</t>
  </si>
  <si>
    <t>Firm Value Start</t>
  </si>
  <si>
    <t>:A:0:IRR_XIRR_Yr</t>
  </si>
  <si>
    <t>:A:-1:Dividend_by_Origin_Last</t>
  </si>
  <si>
    <t>IRR_Initial_Guess_Yr["Securities.Preferred.Series_A"]|=0.50</t>
  </si>
  <si>
    <t>:A:-1:Invest_by_Origin_War_plt</t>
  </si>
  <si>
    <t>Default Conversion Decisions</t>
  </si>
  <si>
    <t>:A:-1:Price_Common_Init</t>
  </si>
  <si>
    <t>Dividend_pct_Yr["Securities.Preferred.Series_A"]|=0.06</t>
  </si>
  <si>
    <t>Firm_Value_Start</t>
  </si>
  <si>
    <t>Numbers of new warrants and options sold, by investment round. Sales of new convertible notes, preferred stock and common stock are input as new investment, from which new shares are computed.</t>
  </si>
  <si>
    <t>" "</t>
  </si>
  <si>
    <t>:A:0:Event_Date_Sc0</t>
  </si>
  <si>
    <t>:A:0:Invest_End_Conv_plt</t>
  </si>
  <si>
    <t>Convert_Trigger_Invest_Amt["Securities.Conv_Note.Series_B"]|=1000000</t>
  </si>
  <si>
    <t>Trigger Date</t>
  </si>
  <si>
    <t>ifm(isleafd("Rounds"), Payout_by_Origin/Payout_by_Origin["Securities"], " ")</t>
  </si>
  <si>
    <t>Net Present Value</t>
  </si>
  <si>
    <t>ConvNote_Discount_pct["Securities.Option.Series_B"]|=0</t>
  </si>
  <si>
    <t>:D:0:Securities.Preferred</t>
  </si>
  <si>
    <t>Units_New_Sc0["Securities.Preferred.Series_A", "Rounds.Seed"]|=0/3/5</t>
  </si>
  <si>
    <t>Dividend % (Yr)</t>
  </si>
  <si>
    <t>Plot Support'!Firm_Value_End</t>
  </si>
  <si>
    <t>ConvNote_Discount_pct["Securities.Option.Series_A"]|=0</t>
  </si>
  <si>
    <t>Price_Unit_New["Securities.Conv_Note.Series_B", "Rounds.Seed"]|='(Other Variables)'!B19</t>
  </si>
  <si>
    <t>if(Price_Unit_Conv["Securities.Common"]&lt;=OptionWar_Exercise_Price, 0, Lastd("Phases", Units_Net))</t>
  </si>
  <si>
    <t>Formula / Data</t>
  </si>
  <si>
    <t>The amount of funds that would be paid to each type of security if liquidation occurs at the end of an investment round. Warrants and options are exercised if they are in the money. The common payout pool covers common shares, including exercised warrants and options.</t>
  </si>
  <si>
    <t>Payout_Pool_EndLast</t>
  </si>
  <si>
    <t>The amount of exercise payments due upon exercise of outstanding warrants and options. For Phase Convert, the amount of exercise payments made to exercise warrants and options in each round.</t>
  </si>
  <si>
    <t>Rounds, Phases.New_Sales</t>
  </si>
  <si>
    <t>Price_Premium_pct["Securities.Preferred.Series_A", "Rounds.Exit"]|=C50</t>
  </si>
  <si>
    <t>:D:-1:Securities</t>
  </si>
  <si>
    <t>:A:-1:Liq_Preference_End</t>
  </si>
  <si>
    <t>:D:0:Rounds.Exit</t>
  </si>
  <si>
    <t>(Ranges)'!Payout_End</t>
  </si>
  <si>
    <t>Price_Unit_New["Securities.Option.Series_B", "Rounds.Exit"]|=max(0, B91*Prices!D18+B91*(-B101))</t>
  </si>
  <si>
    <t>Discount_Rate_Yr["Securities.Common"]|=0.30</t>
  </si>
  <si>
    <t>:A:0:Firm_Value_End</t>
  </si>
  <si>
    <t>if(Lastd("Phases", Units_Net["Securities.Common"])=0, 0, Shares_Common_by_Origin/Lastd("Phases", Units_Net["Securities.Common"])*Payout_End["Securities.Common"])</t>
  </si>
  <si>
    <t>Return_Multiple</t>
  </si>
  <si>
    <t>:A:-1:Payout_EndLast_pct</t>
  </si>
  <si>
    <t>Units_New_Sc0["Securities.Preferred.Series_A", "Rounds.Exit"]|=0/3/5</t>
  </si>
  <si>
    <t>Units_New_Sc0["Securities.Warrant", "Rounds.Round_A"]|=0/3/5</t>
  </si>
  <si>
    <t>Convert_Conditions</t>
  </si>
  <si>
    <t>max(0, if(Units_Net["Phases.Post_Sales"]=0, 0, (Firm_Value["Phases.Post_Sales"]-Liq_Preference_End["Securities.Conv_Note"]-Liq_Preference_End["Securities.Preferred"]-sum(ranged("Securities.Conv_Note", Liq_Preference_New))-sum(ranged("Securities.Preferred", Liq_Preference_New)))/Units_Net["Phases.Post_Sales"]))</t>
  </si>
  <si>
    <t>:A:-1:Invest_End_War_plt</t>
  </si>
  <si>
    <t>Units_New_Sc0["Securities.Common", "Rounds.Round_A"]|=0/3/5</t>
  </si>
  <si>
    <t>:A:0:Conversion_Decisions_Default</t>
  </si>
  <si>
    <t>:A:-1:Units_New</t>
  </si>
  <si>
    <t>Convert_Trigger_Value_pct</t>
  </si>
  <si>
    <t>Convert Conditions</t>
  </si>
  <si>
    <t>Price_Unit_New["Securities.Preferred.Series_A", "Rounds.Round_A"]|='(Other Variables)'!C23</t>
  </si>
  <si>
    <t>Start</t>
  </si>
  <si>
    <t>Convert_Liq_Premium_pct["Securities.Warrant"]|=0</t>
  </si>
  <si>
    <t>Price_Premium_pct["Securities.Conv_Note.Series_A", "Rounds.Seed"]|=0</t>
  </si>
  <si>
    <t>Phase</t>
  </si>
  <si>
    <t>:A:-1:Payout_by_Origin</t>
  </si>
  <si>
    <t>Units_New_Sc0["Securities.Option.Series_A", "Rounds.Exit"]|=0/3/10</t>
  </si>
  <si>
    <t>:A:0:Company_Name</t>
  </si>
  <si>
    <t>:D:1:Phases</t>
  </si>
  <si>
    <t>Price premium for a preferred share unit over common stock at time of purchase. The premium reflects the contingent value of preference payments and preference dividends.</t>
  </si>
  <si>
    <t>:A:0:Payout_by_Origin_Last</t>
  </si>
  <si>
    <t>prevde(0, "Rounds", Lastd("Phases", Investment_Net))+Dividend</t>
  </si>
  <si>
    <t>New investments due to sale of new convertible notes, preferred and common shares, by investment round. New warrants and options are tracked in variable Shares_New because they are specified by number of new shares, not new investment.</t>
  </si>
  <si>
    <t>The multiple of new investment that is added to liquidation preference for each class of security, in each investment round</t>
  </si>
  <si>
    <t>:D:0:Phases.Post_Sales</t>
  </si>
  <si>
    <t>Price_Unit_New["Securities.Common", "Rounds.Seed"]|='(Other Variables)'!B25</t>
  </si>
  <si>
    <t>:A:-1:Securities_plt</t>
  </si>
  <si>
    <t>Price_Unit_New["Securities.Conv_Note.Series_B", "Rounds.Round_A"]|='(Other Variables)'!C19</t>
  </si>
  <si>
    <t>:A:-1:Payout_EndLast</t>
  </si>
  <si>
    <t>Invest by Origin Options</t>
  </si>
  <si>
    <t>IRR_Initial_Guess_Yr</t>
  </si>
  <si>
    <t>% Converting</t>
  </si>
  <si>
    <t>:A:-1:Firm_Value_Start</t>
  </si>
  <si>
    <t>:A:0:Investment_Net</t>
  </si>
  <si>
    <t>Investment_Net["Securities.Warrant", "Phases.End"]</t>
  </si>
  <si>
    <t>Price_Premium_pct["Securities.Conv_Note.Series_B", "Rounds.Round_A"]|=B35</t>
  </si>
  <si>
    <t>Investment_by_Origin["Securities.Conv_Note", "Phases.End"]</t>
  </si>
  <si>
    <t>:A:-1:Investment_New_Sc0</t>
  </si>
  <si>
    <t>:A:0:Payout_by_Origin_pct_LastRnd</t>
  </si>
  <si>
    <t>Discount_Rate_Yr["Securities.Preferred.Series_A"]|=0.30</t>
  </si>
  <si>
    <t>:D:1:Securities.Preferred</t>
  </si>
  <si>
    <t>Net present value of cash flows to each series of each type of security. Each series and type of security can have its own discount rate to reflect different risks.</t>
  </si>
  <si>
    <t>Rounds</t>
  </si>
  <si>
    <t>if(dimitemnum("Rounds")=1, Price_Common_Init, (Firstd("Phases", Firm_Value)-Firstd("Phases", Investment_by_Origin["Securities.Conv_Note"])-Firstd("Phases", Investment_by_Origin["Securities.Preferred"]))/(Firstd("Phases", Units_Net["Securities.Preferred"])+Firstd("Phases", Units_Net["Securities.Warrant"])+Firstd("Phases", Units_Net["Securities.Option"])+Firstd("Phases", Units_Net["Securities.Common"])))</t>
  </si>
  <si>
    <t>Investment_by_Origin["Securities.Common", "Phases.End"]</t>
  </si>
  <si>
    <t>Price_Unit_New["Securities.Conv_Note.Series_A", "Rounds.Round_A"]|='(Other Variables)'!C20</t>
  </si>
  <si>
    <t>Converting_pct["Securities.Warrant", "Rounds.Round_A"]|=C49</t>
  </si>
  <si>
    <t>Liq_Preference_End</t>
  </si>
  <si>
    <t>The multiple of investment (ex-dividends) that each type of security gets. This is a straight multiple with no discounting for the time value of money. The value of founders' noncash contributions are included as investments in this computation.</t>
  </si>
  <si>
    <t>Cash Flow</t>
  </si>
  <si>
    <t>Converting_pct["Securities.Option.Series_A", "Rounds.Seed"]|=B52</t>
  </si>
  <si>
    <t>Rounds, Phases.Convert, Securities.Warrant</t>
  </si>
  <si>
    <t>Dividend_pct_Yr["Securities.Option.Series_A"]|=0</t>
  </si>
  <si>
    <t>Invest End Round Warrants</t>
  </si>
  <si>
    <t>Plot Support'!Invest_by_Origin_Preferred_plt</t>
  </si>
  <si>
    <t>lastd("Rounds", Liq_Preference_End)</t>
  </si>
  <si>
    <t>:A:0:Invest_End_War_plt</t>
  </si>
  <si>
    <t>:A:0:Split_Factor_Start</t>
  </si>
  <si>
    <t>abs(product(ranged("Convert_Conditions", Conversion_Decisions_Detail)))</t>
  </si>
  <si>
    <t>Convert</t>
  </si>
  <si>
    <t>:A:0:Converting_pct</t>
  </si>
  <si>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t>
  </si>
  <si>
    <t>max(0, prevde(0, "Rounds", Liq_Preference_End)+(Dividend+Investment_Net["Phases.New_Sales"]-Investment_Net["Phases.Convert"])*Liq_Multiple)</t>
  </si>
  <si>
    <t>ConvNote_Discount_pct["Securities.Preferred.Series_A"]|=0</t>
  </si>
  <si>
    <t>if(Price_Unit_Start["Securities.Common"]=0, 0, Investment_Net/Price_Unit_Start["Securities.Common"])</t>
  </si>
  <si>
    <t>Invest_by_Origin_War_plt</t>
  </si>
  <si>
    <t>:A:0:ConvNote_Discount_pct</t>
  </si>
  <si>
    <t>Option</t>
  </si>
  <si>
    <t>Security</t>
  </si>
  <si>
    <t>:A:0:Liq_Preference_New</t>
  </si>
  <si>
    <t>Liquidation Preference</t>
  </si>
  <si>
    <t>Discount_Rate_Yr["Securities.Warrant"]|=0.30</t>
  </si>
  <si>
    <t>:D:0:Rounds.Round_A</t>
  </si>
  <si>
    <t>Display As</t>
  </si>
  <si>
    <t>dimitemnum("Scenarios_Invest")</t>
  </si>
  <si>
    <t>Payout_by_Origin</t>
  </si>
  <si>
    <t>ConvNote_Discount_pct["Securities.Common"]|=0</t>
  </si>
  <si>
    <t>Exit</t>
  </si>
  <si>
    <t>:A:-1:IRR_Initial_Guess_Yr</t>
  </si>
  <si>
    <t>Firm_Value_End</t>
  </si>
  <si>
    <t>prevde(0, "Rounds")</t>
  </si>
  <si>
    <t>Rounds, Securities.Warrant</t>
  </si>
  <si>
    <t>Plot Support'!Invest_End_Preferred_plt</t>
  </si>
  <si>
    <t>:D:-1:Convert_Conditions</t>
  </si>
  <si>
    <t>New Units</t>
  </si>
  <si>
    <t>prevde(0, "Rounds", Lastd("Phases", Invest_by_Origin_exDiv))</t>
  </si>
  <si>
    <t>:A:-1:Rounds_plt</t>
  </si>
  <si>
    <t>Invest_by_Origin_Conv_plt</t>
  </si>
  <si>
    <t>Exercise Amt</t>
  </si>
  <si>
    <t>Price_Unit_New["Securities.Conv_Note.Series_A", "Rounds.Exit"]|='(Other Variables)'!D20</t>
  </si>
  <si>
    <t>:A:-1:Convert_Trigger_Date</t>
  </si>
  <si>
    <t>:A:0:Invest_End_Common_plt</t>
  </si>
  <si>
    <t>ConvNote_Discount_pct</t>
  </si>
  <si>
    <t>max(0, Price_Unit_Conv["Securities.Common"])</t>
  </si>
  <si>
    <t>Trigger Value %</t>
  </si>
  <si>
    <t>max(0, Price_Unit_Conv["Securities.Common"]*(1-ConvNote_Discount_pct))</t>
  </si>
  <si>
    <t>Post Sales</t>
  </si>
  <si>
    <t>:A:0:Price_Premium_pct</t>
  </si>
  <si>
    <t>Investment_New_Sc0["Securities.Option.Series_A", "Rounds.Round_A"]|=0</t>
  </si>
  <si>
    <t>:A:-1:Invest_End_Preferred_plt</t>
  </si>
  <si>
    <t>Units_New_Sc0["Securities.Option.Series_B", "Rounds.Round_A"]|=0/3/10</t>
  </si>
  <si>
    <t>Conv Note</t>
  </si>
  <si>
    <t>Converting_pct["Securities.Option.Series_A", "Rounds.Round_A"]|=C52</t>
  </si>
  <si>
    <t>Event_Date_Sc0["Rounds.Seed"]|=date(2010, 11*1-3, 1)</t>
  </si>
  <si>
    <t>Internal rate of return of cash flow to holders of each series and type of security. Includes new investments, exercise payments (for warrants and options) and final payout at the end of the last investment round.</t>
  </si>
  <si>
    <t>:A:-1:Invest_End_Common_plt</t>
  </si>
  <si>
    <t>Net_Present_Value_XNPV</t>
  </si>
  <si>
    <t>Investment rounds, used for plotting</t>
  </si>
  <si>
    <t>:D:0:Convert_Conditions.Trigger_Value_pct</t>
  </si>
  <si>
    <t>Liq_Multiple["Securities.Option.Series_B"]|=0</t>
  </si>
  <si>
    <t>Price_Premium_pct["Securities.Preferred.Series_A", "Rounds.Seed"]|=0.10</t>
  </si>
  <si>
    <t>Price_Unit_Start</t>
  </si>
  <si>
    <t>Ratio (price at which new units are purchased) / (common share price - exercise price).</t>
  </si>
  <si>
    <t>Dividend_Common["Rounds.Seed"]|=0/3</t>
  </si>
  <si>
    <t>Conversion of securities to common stock must produce this value premium over liquidation preference, in order for the default conversion condition to be satisfied. If &lt; 0, then the company has the right to convert the security to common stock when all the conditions are met.</t>
  </si>
  <si>
    <t>Series A</t>
  </si>
  <si>
    <t>Price_Unit_New["Securities.Warrant", "Rounds.Seed"]|=max(0, Boneyard!D26*B18+Boneyard!D26*(-'(Other Variables)'!B12))</t>
  </si>
  <si>
    <t>:A:-1:Investment_by_Origin</t>
  </si>
  <si>
    <t>Invest_by_Origin_Preferred_plt</t>
  </si>
  <si>
    <t>Firm_Value["Phases.Post_Sales"]+Firm_Value["Phases.Convert"]</t>
  </si>
  <si>
    <t>:A:-1:Discount_Rate_Yr</t>
  </si>
  <si>
    <t>Date of each investment round, determined by investment scenario selected</t>
  </si>
  <si>
    <t>:A:0:Investment_by_Origin</t>
  </si>
  <si>
    <t>Dimension (item)</t>
  </si>
  <si>
    <t>Convert_Trigger_Date["Securities.Warrant"]|=date(2011,4,1)</t>
  </si>
  <si>
    <t>Investment_New_Sc0["Securities.Warrant", "Rounds.Seed"]|=0</t>
  </si>
  <si>
    <t>(Ranges)'!Payout_by_Origin_Last</t>
  </si>
  <si>
    <t>:A:0:Net_Present_Value_XNPV</t>
  </si>
  <si>
    <t>Converting_pct</t>
  </si>
  <si>
    <t>Converting_pct["Securities.Option.Series_B", "Rounds.Round_A"]|=C51</t>
  </si>
  <si>
    <t>:D:0:Securities.Option</t>
  </si>
  <si>
    <t>:A:-1:Net_Present_Value_XNPV</t>
  </si>
  <si>
    <t>Capitalization Table</t>
  </si>
  <si>
    <t>You can customize this template by filling in a simple form, without editing a spreadsheet.</t>
  </si>
  <si>
    <t>This is a small and simplified working sample of the capitalization table template.</t>
  </si>
  <si>
    <r>
      <t xml:space="preserve">A </t>
    </r>
    <r>
      <rPr>
        <b/>
        <i/>
        <sz val="10"/>
        <rFont val="Arial"/>
        <family val="2"/>
      </rPr>
      <t>customizable</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</si>
  <si>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</si>
  <si>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</si>
  <si>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</si>
  <si>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</si>
  <si>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</si>
  <si>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</si>
  <si>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</si>
  <si>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</si>
  <si>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</si>
  <si>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</si>
  <si>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</si>
  <si>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</si>
  <si>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</si>
  <si>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</si>
  <si>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</si>
  <si>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</si>
  <si>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</si>
  <si>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</si>
  <si>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</si>
  <si>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</si>
  <si>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</si>
  <si>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</si>
  <si>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</si>
  <si>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</si>
  <si>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</si>
  <si>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</si>
  <si>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</si>
  <si>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</si>
  <si>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</si>
  <si>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</si>
  <si>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</si>
  <si>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</si>
  <si>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Capitalization Table Model</t>
  </si>
  <si>
    <t>Capitalization tables track investments, common and preferred shares, options, notes, preference rights through multiple rounds of financing of a company. The complexity of this application makes it an ideal application for ModelSheet. The Standard version does not contain all featurse listed below. See the comparison table on our website for more information.</t>
  </si>
  <si>
    <t>Types of Securities</t>
  </si>
  <si>
    <t>The model includes five types of securities.</t>
  </si>
  <si>
    <t>• Convertible notes earn non-cash payments (termed dividends). See Technical Notes below
   for default conversion rules.</t>
  </si>
  <si>
    <t xml:space="preserve">• Preferred shares earn a dividend and can convert to common stock. </t>
  </si>
  <si>
    <t>• Common stock</t>
  </si>
  <si>
    <t>• Warrants have an exercise price, a selling price, and exercise conditions. See Technical Notes below
   for default exercise rules.</t>
  </si>
  <si>
    <t>• Options have an exercise price, a selling price, and exercise conditions.</t>
  </si>
  <si>
    <t>ModelSheet can easily change the number of series for each types of security. (Such changes would present a major challenge if authoring were performed using conventional spreadsheets).</t>
  </si>
  <si>
    <t>Major Computed Results</t>
  </si>
  <si>
    <t>The model computes:</t>
  </si>
  <si>
    <r>
      <rPr>
        <sz val="10"/>
        <rFont val="Times New Roman"/>
        <family val="1"/>
      </rPr>
      <t>•</t>
    </r>
    <r>
      <rPr>
        <sz val="10"/>
        <rFont val="Arial"/>
        <family val="2"/>
      </rPr>
      <t xml:space="preserve"> the value and share units of each type of security owned before and after each transaction round.</t>
    </r>
  </si>
  <si>
    <t>• the number of share units of each type purchased at each transaction round.</t>
  </si>
  <si>
    <t>• the number of fully diluted common share units before and after each conversion event.</t>
  </si>
  <si>
    <t>• the valuation of each type of security before and after each transaction round, and the value of
   the enterprise before and after each transaction round.</t>
  </si>
  <si>
    <t>• the payout at liquidation to each type of security, accounting for liquidation preferences of senior securities.</t>
  </si>
  <si>
    <t>Investment Rounds</t>
  </si>
  <si>
    <t>The model includes a number of investment rounds that you can set, including 'Exit'. You can specify the number of rounds in your customized template.</t>
  </si>
  <si>
    <t>Phases within Each Investment Round</t>
  </si>
  <si>
    <t>Each investment round has five phases that occur in this order, and include these transactions.</t>
  </si>
  <si>
    <t>1. "Start Phase": Stock splits occur and dividends in kind are paid at the start of each investment round.</t>
  </si>
  <si>
    <t>2. "New Sales Phase": Sell new securities (convertible notes, preferred stock, warrants, options,
    common stock)</t>
  </si>
  <si>
    <t>3. "Post Sales Phase": Record investments and share units after sale of new securities.</t>
  </si>
  <si>
    <t>4. "Conversion Phase": Stakeholders can convert notes and preferred shares and can exercise warrants and
    options to obtain common stock.</t>
  </si>
  <si>
    <t>5. "End Phase": Record security holdings, prices and values at the end of the investment round.</t>
  </si>
  <si>
    <t>All five phases are assumed to occur on the date of the investment round.</t>
  </si>
  <si>
    <t>You can edit this phase structure of a round in customized templates. You can edit the phase structure using ModelSheet Authoring. This is a fairly complex process, but it is much easier to do with ModelSheet Authoring than with conventional spreadsheets.</t>
  </si>
  <si>
    <t>Investment and Return on Investment</t>
  </si>
  <si>
    <t>The model reports three measures of return on investment for each series of each type of security.</t>
  </si>
  <si>
    <t>• Return multiples: the multiple of investment that is paid out</t>
  </si>
  <si>
    <t>• Present value of the cash flow for each series of each type of security. The discount rates can differ across
  series and types of securities to reflect different risk profiles.</t>
  </si>
  <si>
    <t>• Internal rate of return for the cash flow from each type of security</t>
  </si>
  <si>
    <t>The key results are collected on worksheets 'Investment', 'Shares', 'Valuation', and 'Payout'.</t>
  </si>
  <si>
    <t>Technical Notes</t>
  </si>
  <si>
    <t>Valuation and Security Prices</t>
  </si>
  <si>
    <t>The following principles determine valuation and securities prices</t>
  </si>
  <si>
    <t xml:space="preserve">1. The value of the firm at the start of each investment round is an exogenous input that reflects the expected
   future cash flows of the firm. </t>
  </si>
  <si>
    <t>2. In any phase of an investment round, the sum of the values of all five types of securities equals the value of
    the firm. Similarly, the sum of th values of all series of a given type of security equals the value of that type
    of security.</t>
  </si>
  <si>
    <t>3. All unconverted notes and preferred shares are valued at their liquidation preferences.</t>
  </si>
  <si>
    <t>4. All unexercised warrants and options are valued at max(0, common share price - exercise price).
   This valuation ignores impact on option price of stock volatility, riskless returns, and dividend rate.</t>
  </si>
  <si>
    <t>5. The total value of all common shares equals the value of the firm less liquidiation preferences of
    unconverted notes and preferred shares less valuation of unexercised warrants and options.
   The price of a common share equals the value of all common shares / number of common shares.</t>
  </si>
  <si>
    <t>Conversion and Exercise Decisions</t>
  </si>
  <si>
    <t>The model includes default decisions for conversion of notes and preferred shares and exercise of warrants and
options. Five criteria just be satisfied in order for the default conversion and exercise decision to be positive.</t>
  </si>
  <si>
    <t>1. The date of the current round &gt;= a specified trigger date</t>
  </si>
  <si>
    <t>2. The sum of investments in common, preferred and notes &gt; a specified trigger investment threshhold</t>
  </si>
  <si>
    <t>3. For notes and preferred: investment in notes + preferred &lt; a stated fraction of firm value.</t>
  </si>
  <si>
    <t>4. For notes and preferred: value of common shares obtained &gt; (1+premium) * liquidation preference.</t>
  </si>
  <si>
    <t>5. For warrants and options: common share price &gt;= exercise price."</t>
  </si>
  <si>
    <t>You can set numerous parameters that influence these default conversion and exercise decisions. You can also override these default decision rules entirely by entering how much of each type of security is converted or exercised in each investment round.</t>
  </si>
  <si>
    <t>Inputs to the Model</t>
  </si>
  <si>
    <t>You can edit inputs in cells shaded darker blue on the worksheets 'Inputs' and 'Scenario Inputs.'</t>
  </si>
  <si>
    <t>• The number of investment rounds and their names and dates.</t>
  </si>
  <si>
    <t>• The valuation of the enterprise at the start of each investment round.</t>
  </si>
  <si>
    <t>• The amount invested in new common shares, preferred shares, and convertible notes in each round.</t>
  </si>
  <si>
    <t>• The number of new warrants and options purchased in each investment round.</t>
  </si>
  <si>
    <t>− The number of shares for convertible notes is not determined until conversion.</t>
  </si>
  <si>
    <t>− Parameters that determine unit purchase prices, conversion timing, and conversion prices for preferred
    stock, warrants and options.</t>
  </si>
  <si>
    <t>• The exercise price and purchase price of each type of option at each transaction event.</t>
  </si>
  <si>
    <t>You can also override the model's assumption for conversion and exercise of securities by entering new conversion percentages in the dark blue cells in variable 'Converting %' on worksheet 'Conversion'.</t>
  </si>
  <si>
    <t>This Excel workbook was generated by ModelSheet on August 28, 2010, except for this worksheet of comments.</t>
  </si>
  <si>
    <t>Copyright © 2009, 2010 ModelSheet Software, LLC</t>
  </si>
  <si>
    <t>ModelSheet and the ModelSheet logo are registered trademarks of ModelSheet Software, LLC.</t>
  </si>
  <si>
    <t>If this Spreadsheet Solution lacks some of the features you need…</t>
  </si>
  <si>
    <t>We offer custom development services to add features you want to our spreadsheet solutions, and to build new solutions from scratch. For more information about our consulting services, see:</t>
  </si>
  <si>
    <t>http://www.modelsheetsoft.com/consulting-business-analysis.aspx</t>
  </si>
  <si>
    <t>To discuss your specific needs, please contact us at:</t>
  </si>
  <si>
    <t>info@modelsheetsoft.com.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</si>
</sst>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quot;$&quot;#,##0.00_);[Red]\(&quot;$&quot;#,##0.00\)"/>
    <numFmt numFmtId="166" formatCode="#,##0%"/>
    <numFmt numFmtId="167" formatCode="#,##0.0%"/>
    <numFmt numFmtId="168" formatCode="#,##0.000"/>
    <numFmt numFmtId="169" formatCode="#,##0.0"/>
    <numFmt numFmtId="170" formatCode="#,##0.00%"/>
    <numFmt numFmtId="171" formatCode="&quot;$&quot;#,##0.000_);[Red]\(&quot;$&quot;#,##0.000\)"/>
  </numFmts>
  <fonts count="41" x14ac:knownFonts="1">
    <font>
      <sz val="10"/>
      <name val="Arial"/>
      <family val="2"/>
    </font>
    <font>
      <sz val="10"/>
      <name val="Arial"/>
      <family val="2"/>
    </font>
    <font>
      <b/>
      <sz val="11"/>
      <color indexed="9"/>
      <name val="Calibri"/>
      <family val="2"/>
    </font>
    <font>
      <sz val="11"/>
      <color indexed="10"/>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b/>
      <sz val="8"/>
      <color indexed="8"/>
      <name val="Arial"/>
      <family val="2"/>
    </font>
    <font>
      <b/>
      <i/>
      <sz val="8"/>
      <color indexed="8"/>
      <name val="Arial"/>
      <family val="2"/>
    </font>
    <font>
      <i/>
      <sz val="8"/>
      <color indexed="8"/>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2"/>
      <name val="Arial"/>
      <family val="2"/>
    </font>
    <font>
      <b/>
      <sz val="14"/>
      <name val="Arial"/>
      <family val="2"/>
    </font>
    <font>
      <b/>
      <sz val="11"/>
      <color indexed="10"/>
      <name val="Arial"/>
      <family val="2"/>
    </font>
    <font>
      <sz val="10"/>
      <color indexed="10"/>
      <name val="Arial"/>
      <family val="2"/>
    </font>
    <font>
      <b/>
      <i/>
      <sz val="10"/>
      <name val="Arial"/>
      <family val="2"/>
    </font>
    <font>
      <b/>
      <sz val="10"/>
      <name val="Arial"/>
      <family val="2"/>
    </font>
    <font>
      <u/>
      <sz val="10"/>
      <color theme="10"/>
      <name val="Arial"/>
      <family val="2"/>
    </font>
    <font>
      <b/>
      <sz val="11"/>
      <name val="Arial"/>
      <family val="2"/>
    </font>
    <font>
      <sz val="10"/>
      <name val="Times New Roman"/>
      <family val="1"/>
    </font>
    <font>
      <sz val="10"/>
      <name val="Calibri"/>
      <family val="2"/>
    </font>
    <font>
      <sz val="10"/>
      <color indexed="8"/>
      <name val="Arial"/>
      <family val="2"/>
    </font>
  </fonts>
  <fills count="38">
    <fill>
      <patternFill patternType="none"/>
    </fill>
    <fill>
      <patternFill patternType="gray125"/>
    </fill>
    <fill>
      <patternFill patternType="solid">
        <fgColor indexed="28"/>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CCCC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s>
  <cellStyleXfs count="297">
    <xf numFmtId="0" fontId="0" fillId="0" borderId="0">
      <alignment vertical="center"/>
    </xf>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19" fillId="31" borderId="15" applyNumberFormat="0" applyAlignment="0" applyProtection="0"/>
    <xf numFmtId="0" fontId="2" fillId="32" borderId="16" applyNumberFormat="0" applyAlignment="0" applyProtection="0"/>
    <xf numFmtId="0" fontId="20" fillId="0" borderId="0" applyNumberFormat="0" applyFill="0" applyBorder="0" applyAlignment="0" applyProtection="0"/>
    <xf numFmtId="0" fontId="21" fillId="33"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4" borderId="15" applyNumberFormat="0" applyAlignment="0" applyProtection="0"/>
    <xf numFmtId="0" fontId="26" fillId="0" borderId="20" applyNumberFormat="0" applyFill="0" applyAlignment="0" applyProtection="0"/>
    <xf numFmtId="0" fontId="11" fillId="5" borderId="0" applyBorder="0">
      <alignment vertical="top" shrinkToFit="1"/>
    </xf>
    <xf numFmtId="0" fontId="12" fillId="5" borderId="0" applyBorder="0">
      <alignment vertical="top" shrinkToFit="1"/>
    </xf>
    <xf numFmtId="0" fontId="13" fillId="5" borderId="1">
      <alignment vertical="top" shrinkToFit="1"/>
    </xf>
    <xf numFmtId="0" fontId="13" fillId="3" borderId="1">
      <alignment horizontal="left" vertical="top" shrinkToFit="1"/>
      <protection locked="0"/>
    </xf>
    <xf numFmtId="0" fontId="14" fillId="5" borderId="0" applyBorder="0">
      <alignment vertical="top" shrinkToFit="1"/>
    </xf>
    <xf numFmtId="0" fontId="13" fillId="5" borderId="2">
      <alignment horizontal="center" vertical="top" shrinkToFit="1"/>
    </xf>
    <xf numFmtId="0" fontId="13" fillId="5" borderId="3">
      <alignment horizontal="center" vertical="top" shrinkToFit="1"/>
    </xf>
    <xf numFmtId="0" fontId="13" fillId="5" borderId="4">
      <alignment horizontal="center" vertical="top" shrinkToFit="1"/>
    </xf>
    <xf numFmtId="14" fontId="13" fillId="3" borderId="3">
      <alignment horizontal="right" vertical="top" shrinkToFit="1"/>
      <protection locked="0"/>
    </xf>
    <xf numFmtId="14" fontId="13" fillId="3" borderId="4">
      <alignment horizontal="right" vertical="top" shrinkToFit="1"/>
      <protection locked="0"/>
    </xf>
    <xf numFmtId="0" fontId="13" fillId="5" borderId="5">
      <alignment vertical="top" shrinkToFit="1"/>
    </xf>
    <xf numFmtId="166" fontId="13" fillId="3" borderId="6">
      <alignment horizontal="right" vertical="top" shrinkToFit="1"/>
      <protection locked="0"/>
    </xf>
    <xf numFmtId="168" fontId="13" fillId="3" borderId="6">
      <alignment horizontal="right" vertical="top" shrinkToFit="1"/>
      <protection locked="0"/>
    </xf>
    <xf numFmtId="167" fontId="13" fillId="3" borderId="7">
      <alignment horizontal="right" vertical="top" shrinkToFit="1"/>
      <protection locked="0"/>
    </xf>
    <xf numFmtId="0" fontId="13" fillId="5" borderId="8">
      <alignment vertical="top" shrinkToFit="1"/>
    </xf>
    <xf numFmtId="166" fontId="13" fillId="3" borderId="9">
      <alignment horizontal="right" vertical="top" shrinkToFit="1"/>
      <protection locked="0"/>
    </xf>
    <xf numFmtId="168" fontId="13" fillId="3" borderId="9">
      <alignment horizontal="right" vertical="top" shrinkToFit="1"/>
      <protection locked="0"/>
    </xf>
    <xf numFmtId="167" fontId="13" fillId="3" borderId="10">
      <alignment horizontal="right" vertical="top" shrinkToFit="1"/>
      <protection locked="0"/>
    </xf>
    <xf numFmtId="14" fontId="13" fillId="3" borderId="6">
      <alignment horizontal="right" vertical="top" shrinkToFit="1"/>
      <protection locked="0"/>
    </xf>
    <xf numFmtId="164" fontId="13" fillId="3" borderId="6">
      <alignment horizontal="right" vertical="top" shrinkToFit="1"/>
      <protection locked="0"/>
    </xf>
    <xf numFmtId="4" fontId="13" fillId="3" borderId="7">
      <alignment horizontal="right" vertical="top" shrinkToFit="1"/>
      <protection locked="0"/>
    </xf>
    <xf numFmtId="14" fontId="13" fillId="3" borderId="9">
      <alignment horizontal="right" vertical="top" shrinkToFit="1"/>
      <protection locked="0"/>
    </xf>
    <xf numFmtId="164" fontId="13" fillId="3" borderId="9">
      <alignment horizontal="right" vertical="top" shrinkToFit="1"/>
      <protection locked="0"/>
    </xf>
    <xf numFmtId="4" fontId="13" fillId="3" borderId="10">
      <alignment horizontal="right" vertical="top" shrinkToFit="1"/>
      <protection locked="0"/>
    </xf>
    <xf numFmtId="0" fontId="13" fillId="5" borderId="1">
      <alignment horizontal="center" vertical="top" shrinkToFit="1"/>
    </xf>
    <xf numFmtId="164" fontId="13" fillId="5" borderId="6">
      <alignment horizontal="right" vertical="top" shrinkToFit="1"/>
    </xf>
    <xf numFmtId="164" fontId="13" fillId="5" borderId="5">
      <alignment horizontal="right" vertical="top" shrinkToFit="1"/>
    </xf>
    <xf numFmtId="0" fontId="15" fillId="5" borderId="11">
      <alignment vertical="top" shrinkToFit="1"/>
    </xf>
    <xf numFmtId="164" fontId="12" fillId="3" borderId="0" applyBorder="0">
      <alignment horizontal="right" vertical="top" shrinkToFit="1"/>
      <protection locked="0"/>
    </xf>
    <xf numFmtId="164" fontId="13" fillId="5" borderId="11">
      <alignment horizontal="right" vertical="top" shrinkToFit="1"/>
    </xf>
    <xf numFmtId="164" fontId="13" fillId="5" borderId="9">
      <alignment horizontal="right" vertical="top" shrinkToFit="1"/>
    </xf>
    <xf numFmtId="164" fontId="13" fillId="5" borderId="8">
      <alignment horizontal="right" vertical="top" shrinkToFit="1"/>
    </xf>
    <xf numFmtId="0" fontId="13" fillId="5" borderId="0" applyBorder="0">
      <alignment vertical="top" shrinkToFit="1"/>
    </xf>
    <xf numFmtId="167" fontId="13" fillId="5" borderId="6">
      <alignment horizontal="right" vertical="top" shrinkToFit="1"/>
    </xf>
    <xf numFmtId="167" fontId="13" fillId="5" borderId="7">
      <alignment horizontal="right" vertical="top" shrinkToFit="1"/>
    </xf>
    <xf numFmtId="0" fontId="15" fillId="5" borderId="8">
      <alignment vertical="top" shrinkToFit="1"/>
    </xf>
    <xf numFmtId="167" fontId="12" fillId="3" borderId="9">
      <alignment horizontal="right" vertical="top" shrinkToFit="1"/>
      <protection locked="0"/>
    </xf>
    <xf numFmtId="167" fontId="12" fillId="3" borderId="10">
      <alignment horizontal="right" vertical="top" shrinkToFit="1"/>
      <protection locked="0"/>
    </xf>
    <xf numFmtId="168" fontId="13" fillId="3" borderId="3">
      <alignment horizontal="right" vertical="top" shrinkToFit="1"/>
      <protection locked="0"/>
    </xf>
    <xf numFmtId="167" fontId="13" fillId="3" borderId="4">
      <alignment horizontal="right" vertical="top" shrinkToFit="1"/>
      <protection locked="0"/>
    </xf>
    <xf numFmtId="164" fontId="13" fillId="3" borderId="3">
      <alignment horizontal="right" vertical="top" shrinkToFit="1"/>
      <protection locked="0"/>
    </xf>
    <xf numFmtId="166" fontId="13" fillId="3" borderId="3">
      <alignment horizontal="right" vertical="top" shrinkToFit="1"/>
      <protection locked="0"/>
    </xf>
    <xf numFmtId="4" fontId="13" fillId="3" borderId="4">
      <alignment horizontal="right" vertical="top" shrinkToFit="1"/>
      <protection locked="0"/>
    </xf>
    <xf numFmtId="165" fontId="13" fillId="3" borderId="1">
      <alignment horizontal="right" vertical="top" shrinkToFit="1"/>
      <protection locked="0"/>
    </xf>
    <xf numFmtId="168" fontId="13" fillId="3" borderId="4">
      <alignment horizontal="right" vertical="top" shrinkToFit="1"/>
      <protection locked="0"/>
    </xf>
    <xf numFmtId="165" fontId="13" fillId="3" borderId="3">
      <alignment horizontal="right" vertical="top" shrinkToFit="1"/>
      <protection locked="0"/>
    </xf>
    <xf numFmtId="165" fontId="13" fillId="5" borderId="1">
      <alignment horizontal="right" vertical="top" shrinkToFit="1"/>
    </xf>
    <xf numFmtId="164" fontId="13" fillId="5" borderId="1">
      <alignment horizontal="right" vertical="top" shrinkToFit="1"/>
    </xf>
    <xf numFmtId="166" fontId="13" fillId="5" borderId="5">
      <alignment horizontal="right" vertical="top" shrinkToFit="1"/>
    </xf>
    <xf numFmtId="166" fontId="13" fillId="3" borderId="11">
      <alignment horizontal="right" vertical="top" shrinkToFit="1"/>
      <protection locked="0"/>
    </xf>
    <xf numFmtId="166" fontId="13" fillId="3" borderId="8">
      <alignment horizontal="right" vertical="top" shrinkToFit="1"/>
      <protection locked="0"/>
    </xf>
    <xf numFmtId="165" fontId="13" fillId="5" borderId="6">
      <alignment horizontal="right" vertical="top" shrinkToFit="1"/>
    </xf>
    <xf numFmtId="165" fontId="13" fillId="5" borderId="7">
      <alignment horizontal="right" vertical="top" shrinkToFit="1"/>
    </xf>
    <xf numFmtId="165" fontId="12" fillId="3" borderId="0" applyBorder="0">
      <alignment horizontal="right" vertical="top" shrinkToFit="1"/>
      <protection locked="0"/>
    </xf>
    <xf numFmtId="165" fontId="12" fillId="3" borderId="12">
      <alignment horizontal="right" vertical="top" shrinkToFit="1"/>
      <protection locked="0"/>
    </xf>
    <xf numFmtId="165" fontId="12" fillId="3" borderId="9">
      <alignment horizontal="right" vertical="top" shrinkToFit="1"/>
      <protection locked="0"/>
    </xf>
    <xf numFmtId="165" fontId="12" fillId="3" borderId="10">
      <alignment horizontal="right" vertical="top" shrinkToFit="1"/>
      <protection locked="0"/>
    </xf>
    <xf numFmtId="166" fontId="13" fillId="3" borderId="7">
      <alignment horizontal="right" vertical="top" shrinkToFit="1"/>
      <protection locked="0"/>
    </xf>
    <xf numFmtId="165" fontId="13" fillId="5" borderId="9">
      <alignment horizontal="right" vertical="top" shrinkToFit="1"/>
    </xf>
    <xf numFmtId="166" fontId="13" fillId="3" borderId="10">
      <alignment horizontal="right" vertical="top" shrinkToFit="1"/>
      <protection locked="0"/>
    </xf>
    <xf numFmtId="169" fontId="13" fillId="5" borderId="6">
      <alignment horizontal="right" vertical="top" shrinkToFit="1"/>
    </xf>
    <xf numFmtId="169" fontId="13" fillId="5" borderId="5">
      <alignment horizontal="right" vertical="top" shrinkToFit="1"/>
    </xf>
    <xf numFmtId="169" fontId="12" fillId="3" borderId="0" applyBorder="0">
      <alignment horizontal="right" vertical="top" shrinkToFit="1"/>
      <protection locked="0"/>
    </xf>
    <xf numFmtId="169" fontId="13" fillId="5" borderId="11">
      <alignment horizontal="right" vertical="top" shrinkToFit="1"/>
    </xf>
    <xf numFmtId="169" fontId="13" fillId="5" borderId="9">
      <alignment horizontal="right" vertical="top" shrinkToFit="1"/>
    </xf>
    <xf numFmtId="169" fontId="13" fillId="5" borderId="8">
      <alignment horizontal="right" vertical="top" shrinkToFit="1"/>
    </xf>
    <xf numFmtId="164" fontId="13" fillId="3" borderId="11">
      <alignment horizontal="right" vertical="top" shrinkToFit="1"/>
      <protection locked="0"/>
    </xf>
    <xf numFmtId="164" fontId="13" fillId="3" borderId="8">
      <alignment horizontal="right" vertical="top" shrinkToFit="1"/>
      <protection locked="0"/>
    </xf>
    <xf numFmtId="170" fontId="13" fillId="5" borderId="6">
      <alignment horizontal="right" vertical="top" shrinkToFit="1"/>
    </xf>
    <xf numFmtId="4" fontId="13" fillId="5" borderId="7">
      <alignment horizontal="right" vertical="top" shrinkToFit="1"/>
    </xf>
    <xf numFmtId="164" fontId="15" fillId="5" borderId="0" applyBorder="0">
      <alignment horizontal="right" vertical="top" shrinkToFit="1"/>
    </xf>
    <xf numFmtId="170" fontId="15" fillId="5" borderId="0" applyBorder="0">
      <alignment horizontal="right" vertical="top" shrinkToFit="1"/>
    </xf>
    <xf numFmtId="4" fontId="15" fillId="5" borderId="12">
      <alignment horizontal="right" vertical="top" shrinkToFit="1"/>
    </xf>
    <xf numFmtId="0" fontId="13" fillId="5" borderId="11">
      <alignment vertical="top" shrinkToFit="1"/>
    </xf>
    <xf numFmtId="164" fontId="13" fillId="5" borderId="0" applyBorder="0">
      <alignment horizontal="right" vertical="top" shrinkToFit="1"/>
    </xf>
    <xf numFmtId="170" fontId="13" fillId="5" borderId="0" applyBorder="0">
      <alignment horizontal="right" vertical="top" shrinkToFit="1"/>
    </xf>
    <xf numFmtId="4" fontId="13" fillId="5" borderId="12">
      <alignment horizontal="right" vertical="top" shrinkToFit="1"/>
    </xf>
    <xf numFmtId="164" fontId="13" fillId="5" borderId="3">
      <alignment horizontal="right" vertical="top" shrinkToFit="1"/>
    </xf>
    <xf numFmtId="170" fontId="13" fillId="5" borderId="3">
      <alignment horizontal="right" vertical="top" shrinkToFit="1"/>
    </xf>
    <xf numFmtId="4" fontId="13" fillId="5" borderId="4">
      <alignment horizontal="right" vertical="top" shrinkToFit="1"/>
    </xf>
    <xf numFmtId="166" fontId="13" fillId="5" borderId="6">
      <alignment horizontal="right" vertical="top" shrinkToFit="1"/>
    </xf>
    <xf numFmtId="166" fontId="13" fillId="5" borderId="7">
      <alignment horizontal="right" vertical="top" shrinkToFit="1"/>
    </xf>
    <xf numFmtId="166" fontId="15" fillId="5" borderId="0" applyBorder="0">
      <alignment horizontal="right" vertical="top" shrinkToFit="1"/>
    </xf>
    <xf numFmtId="166" fontId="15" fillId="5" borderId="12">
      <alignment horizontal="right" vertical="top" shrinkToFit="1"/>
    </xf>
    <xf numFmtId="166" fontId="13" fillId="5" borderId="0" applyBorder="0">
      <alignment horizontal="right" vertical="top" shrinkToFit="1"/>
    </xf>
    <xf numFmtId="166" fontId="13" fillId="5" borderId="12">
      <alignment horizontal="right" vertical="top" shrinkToFit="1"/>
    </xf>
    <xf numFmtId="166" fontId="13" fillId="3" borderId="12">
      <alignment horizontal="right" vertical="top" shrinkToFit="1"/>
      <protection locked="0"/>
    </xf>
    <xf numFmtId="166" fontId="13" fillId="5" borderId="3">
      <alignment horizontal="right" vertical="top" shrinkToFit="1"/>
    </xf>
    <xf numFmtId="166" fontId="13" fillId="5" borderId="4">
      <alignment horizontal="right" vertical="top" shrinkToFit="1"/>
    </xf>
    <xf numFmtId="0" fontId="16" fillId="5" borderId="11">
      <alignment vertical="top" shrinkToFit="1"/>
    </xf>
    <xf numFmtId="164" fontId="16" fillId="5" borderId="0" applyBorder="0">
      <alignment horizontal="right" vertical="top" shrinkToFit="1"/>
    </xf>
    <xf numFmtId="164" fontId="12" fillId="5" borderId="0" applyBorder="0">
      <alignment horizontal="right" vertical="top" shrinkToFit="1"/>
    </xf>
    <xf numFmtId="0" fontId="13" fillId="5" borderId="3">
      <alignment vertical="top" shrinkToFit="1"/>
    </xf>
    <xf numFmtId="164" fontId="15" fillId="5" borderId="9">
      <alignment horizontal="right" vertical="top" shrinkToFit="1"/>
    </xf>
    <xf numFmtId="14" fontId="13" fillId="5" borderId="3">
      <alignment horizontal="center" vertical="top" shrinkToFit="1"/>
    </xf>
    <xf numFmtId="14" fontId="13" fillId="5" borderId="4">
      <alignment horizontal="center" vertical="top" shrinkToFit="1"/>
    </xf>
    <xf numFmtId="169" fontId="13" fillId="5" borderId="7">
      <alignment horizontal="right" vertical="top" shrinkToFit="1"/>
    </xf>
    <xf numFmtId="169" fontId="15" fillId="5" borderId="0" applyBorder="0">
      <alignment horizontal="right" vertical="top" shrinkToFit="1"/>
    </xf>
    <xf numFmtId="169" fontId="15" fillId="5" borderId="12">
      <alignment horizontal="right" vertical="top" shrinkToFit="1"/>
    </xf>
    <xf numFmtId="169" fontId="16" fillId="5" borderId="0" applyBorder="0">
      <alignment horizontal="right" vertical="top" shrinkToFit="1"/>
    </xf>
    <xf numFmtId="169" fontId="16" fillId="5" borderId="12">
      <alignment horizontal="right" vertical="top" shrinkToFit="1"/>
    </xf>
    <xf numFmtId="0" fontId="16" fillId="5" borderId="8">
      <alignment vertical="top" shrinkToFit="1"/>
    </xf>
    <xf numFmtId="169" fontId="16" fillId="5" borderId="9">
      <alignment horizontal="right" vertical="top" shrinkToFit="1"/>
    </xf>
    <xf numFmtId="169" fontId="16" fillId="5" borderId="10">
      <alignment horizontal="right" vertical="top" shrinkToFit="1"/>
    </xf>
    <xf numFmtId="169" fontId="12" fillId="5" borderId="0" applyBorder="0">
      <alignment horizontal="right" vertical="top" shrinkToFit="1"/>
    </xf>
    <xf numFmtId="169" fontId="15" fillId="5" borderId="9">
      <alignment horizontal="right" vertical="top" shrinkToFit="1"/>
    </xf>
    <xf numFmtId="170" fontId="13" fillId="5" borderId="7">
      <alignment horizontal="right" vertical="top" shrinkToFit="1"/>
    </xf>
    <xf numFmtId="170" fontId="15" fillId="5" borderId="12">
      <alignment horizontal="right" vertical="top" shrinkToFit="1"/>
    </xf>
    <xf numFmtId="170" fontId="16" fillId="3" borderId="0" applyBorder="0">
      <alignment horizontal="right" vertical="top" shrinkToFit="1"/>
      <protection locked="0"/>
    </xf>
    <xf numFmtId="170" fontId="16" fillId="3" borderId="12">
      <alignment horizontal="right" vertical="top" shrinkToFit="1"/>
      <protection locked="0"/>
    </xf>
    <xf numFmtId="170" fontId="15" fillId="3" borderId="0" applyBorder="0">
      <alignment horizontal="right" vertical="top" shrinkToFit="1"/>
      <protection locked="0"/>
    </xf>
    <xf numFmtId="170" fontId="15" fillId="3" borderId="12">
      <alignment horizontal="right" vertical="top" shrinkToFit="1"/>
      <protection locked="0"/>
    </xf>
    <xf numFmtId="170" fontId="16" fillId="3" borderId="9">
      <alignment horizontal="right" vertical="top" shrinkToFit="1"/>
      <protection locked="0"/>
    </xf>
    <xf numFmtId="170" fontId="16" fillId="3" borderId="10">
      <alignment horizontal="right" vertical="top" shrinkToFit="1"/>
      <protection locked="0"/>
    </xf>
    <xf numFmtId="3" fontId="13" fillId="5" borderId="6">
      <alignment horizontal="right" vertical="top" shrinkToFit="1"/>
    </xf>
    <xf numFmtId="3" fontId="13" fillId="5" borderId="7">
      <alignment horizontal="right" vertical="top" shrinkToFit="1"/>
    </xf>
    <xf numFmtId="3" fontId="15" fillId="5" borderId="0" applyBorder="0">
      <alignment horizontal="right" vertical="top" shrinkToFit="1"/>
    </xf>
    <xf numFmtId="3" fontId="15" fillId="5" borderId="12">
      <alignment horizontal="right" vertical="top" shrinkToFit="1"/>
    </xf>
    <xf numFmtId="3" fontId="16" fillId="5" borderId="0" applyBorder="0">
      <alignment horizontal="right" vertical="top" shrinkToFit="1"/>
    </xf>
    <xf numFmtId="3" fontId="16" fillId="5" borderId="12">
      <alignment horizontal="right" vertical="top" shrinkToFit="1"/>
    </xf>
    <xf numFmtId="3" fontId="16" fillId="5" borderId="9">
      <alignment horizontal="right" vertical="top" shrinkToFit="1"/>
    </xf>
    <xf numFmtId="3" fontId="16" fillId="5" borderId="10">
      <alignment horizontal="right" vertical="top" shrinkToFit="1"/>
    </xf>
    <xf numFmtId="3" fontId="12" fillId="5" borderId="0" applyBorder="0">
      <alignment horizontal="right" vertical="top" shrinkToFit="1"/>
    </xf>
    <xf numFmtId="3" fontId="12" fillId="5" borderId="12">
      <alignment horizontal="right" vertical="top" shrinkToFit="1"/>
    </xf>
    <xf numFmtId="3" fontId="12" fillId="5" borderId="9">
      <alignment horizontal="right" vertical="top" shrinkToFit="1"/>
    </xf>
    <xf numFmtId="3" fontId="12" fillId="5" borderId="10">
      <alignment horizontal="right" vertical="top" shrinkToFit="1"/>
    </xf>
    <xf numFmtId="165" fontId="15" fillId="5" borderId="0" applyBorder="0">
      <alignment horizontal="right" vertical="top" shrinkToFit="1"/>
    </xf>
    <xf numFmtId="165" fontId="15" fillId="5" borderId="12">
      <alignment horizontal="right" vertical="top" shrinkToFit="1"/>
    </xf>
    <xf numFmtId="165" fontId="15" fillId="3" borderId="0" applyBorder="0">
      <alignment horizontal="right" vertical="top" shrinkToFit="1"/>
      <protection locked="0"/>
    </xf>
    <xf numFmtId="165" fontId="15" fillId="3" borderId="12">
      <alignment horizontal="right" vertical="top" shrinkToFit="1"/>
      <protection locked="0"/>
    </xf>
    <xf numFmtId="165" fontId="12" fillId="5" borderId="0" applyBorder="0">
      <alignment horizontal="right" vertical="top" shrinkToFit="1"/>
    </xf>
    <xf numFmtId="165" fontId="12" fillId="5" borderId="12">
      <alignment horizontal="right" vertical="top" shrinkToFit="1"/>
    </xf>
    <xf numFmtId="165" fontId="12" fillId="5" borderId="9">
      <alignment horizontal="right" vertical="top" shrinkToFit="1"/>
    </xf>
    <xf numFmtId="165" fontId="12" fillId="5" borderId="10">
      <alignment horizontal="right" vertical="top" shrinkToFit="1"/>
    </xf>
    <xf numFmtId="165" fontId="13" fillId="5" borderId="5">
      <alignment horizontal="right" vertical="top" shrinkToFit="1"/>
    </xf>
    <xf numFmtId="165" fontId="13" fillId="5" borderId="11">
      <alignment horizontal="right" vertical="top" shrinkToFit="1"/>
    </xf>
    <xf numFmtId="165" fontId="13" fillId="5" borderId="8">
      <alignment horizontal="right" vertical="top" shrinkToFit="1"/>
    </xf>
    <xf numFmtId="165" fontId="13" fillId="5" borderId="3">
      <alignment horizontal="right" vertical="top" shrinkToFit="1"/>
    </xf>
    <xf numFmtId="169" fontId="13" fillId="5" borderId="0" applyBorder="0">
      <alignment horizontal="right" vertical="top" shrinkToFit="1"/>
    </xf>
    <xf numFmtId="14" fontId="12" fillId="5" borderId="3">
      <alignment horizontal="center" vertical="top" shrinkToFit="1"/>
    </xf>
    <xf numFmtId="14" fontId="12" fillId="5" borderId="4">
      <alignment horizontal="center" vertical="top" shrinkToFit="1"/>
    </xf>
    <xf numFmtId="164" fontId="12" fillId="5" borderId="3">
      <alignment horizontal="right" vertical="top" shrinkToFit="1"/>
    </xf>
    <xf numFmtId="164" fontId="12" fillId="5" borderId="4">
      <alignment horizontal="right" vertical="top" shrinkToFit="1"/>
    </xf>
    <xf numFmtId="170" fontId="13" fillId="5" borderId="12">
      <alignment horizontal="right" vertical="top" shrinkToFit="1"/>
    </xf>
    <xf numFmtId="170" fontId="13" fillId="5" borderId="4">
      <alignment horizontal="right" vertical="top" shrinkToFit="1"/>
    </xf>
    <xf numFmtId="170" fontId="13" fillId="5" borderId="11">
      <alignment horizontal="right" vertical="top" shrinkToFit="1"/>
    </xf>
    <xf numFmtId="170" fontId="12" fillId="5" borderId="0" applyBorder="0">
      <alignment horizontal="right" vertical="top" shrinkToFit="1"/>
    </xf>
    <xf numFmtId="170" fontId="13" fillId="5" borderId="9">
      <alignment horizontal="right" vertical="top" shrinkToFit="1"/>
    </xf>
    <xf numFmtId="170" fontId="13" fillId="5" borderId="8">
      <alignment horizontal="right" vertical="top" shrinkToFit="1"/>
    </xf>
    <xf numFmtId="0" fontId="13" fillId="5" borderId="3">
      <alignment horizontal="left" vertical="top" shrinkToFit="1"/>
    </xf>
    <xf numFmtId="0" fontId="13" fillId="2" borderId="0" applyBorder="0">
      <alignment vertical="top" shrinkToFit="1"/>
    </xf>
    <xf numFmtId="0" fontId="16" fillId="2" borderId="0" applyBorder="0">
      <alignment vertical="top" shrinkToFit="1"/>
    </xf>
    <xf numFmtId="0" fontId="13" fillId="2" borderId="0" applyBorder="0">
      <alignment horizontal="right" vertical="top" shrinkToFit="1"/>
    </xf>
    <xf numFmtId="0" fontId="12" fillId="2" borderId="0" applyBorder="0">
      <alignment vertical="top" shrinkToFit="1"/>
    </xf>
    <xf numFmtId="0" fontId="16" fillId="5" borderId="3">
      <alignment vertical="top" shrinkToFit="1"/>
    </xf>
    <xf numFmtId="0" fontId="13" fillId="5" borderId="3">
      <alignment horizontal="right" vertical="top" shrinkToFit="1"/>
    </xf>
    <xf numFmtId="166" fontId="13" fillId="5" borderId="11">
      <alignment horizontal="right" vertical="top" shrinkToFit="1"/>
    </xf>
    <xf numFmtId="14" fontId="13" fillId="5" borderId="5">
      <alignment horizontal="right" vertical="top" shrinkToFit="1"/>
    </xf>
    <xf numFmtId="14" fontId="13" fillId="5" borderId="11">
      <alignment horizontal="right" vertical="top" shrinkToFit="1"/>
    </xf>
    <xf numFmtId="14" fontId="13" fillId="3" borderId="11">
      <alignment horizontal="right" vertical="top" shrinkToFit="1"/>
      <protection locked="0"/>
    </xf>
    <xf numFmtId="14" fontId="13" fillId="5" borderId="8">
      <alignment horizontal="right" vertical="top" shrinkToFit="1"/>
    </xf>
    <xf numFmtId="166" fontId="13" fillId="5" borderId="8">
      <alignment horizontal="right" vertical="top" shrinkToFit="1"/>
    </xf>
    <xf numFmtId="167" fontId="13" fillId="5" borderId="5">
      <alignment horizontal="right" vertical="top" shrinkToFit="1"/>
    </xf>
    <xf numFmtId="167" fontId="13" fillId="5" borderId="11">
      <alignment horizontal="right" vertical="top" shrinkToFit="1"/>
    </xf>
    <xf numFmtId="167" fontId="13" fillId="3" borderId="11">
      <alignment horizontal="right" vertical="top" shrinkToFit="1"/>
      <protection locked="0"/>
    </xf>
    <xf numFmtId="167" fontId="13" fillId="3" borderId="8">
      <alignment horizontal="right" vertical="top" shrinkToFit="1"/>
      <protection locked="0"/>
    </xf>
    <xf numFmtId="168" fontId="13" fillId="5" borderId="5">
      <alignment horizontal="right" vertical="top" shrinkToFit="1"/>
    </xf>
    <xf numFmtId="168" fontId="13" fillId="5" borderId="11">
      <alignment horizontal="right" vertical="top" shrinkToFit="1"/>
    </xf>
    <xf numFmtId="168" fontId="13" fillId="3" borderId="11">
      <alignment horizontal="right" vertical="top" shrinkToFit="1"/>
      <protection locked="0"/>
    </xf>
    <xf numFmtId="168" fontId="13" fillId="3" borderId="8">
      <alignment horizontal="right" vertical="top" shrinkToFit="1"/>
      <protection locked="0"/>
    </xf>
    <xf numFmtId="4" fontId="13" fillId="5" borderId="5">
      <alignment horizontal="right" vertical="top" shrinkToFit="1"/>
    </xf>
    <xf numFmtId="4" fontId="13" fillId="5" borderId="11">
      <alignment horizontal="right" vertical="top" shrinkToFit="1"/>
    </xf>
    <xf numFmtId="4" fontId="13" fillId="3" borderId="11">
      <alignment horizontal="right" vertical="top" shrinkToFit="1"/>
      <protection locked="0"/>
    </xf>
    <xf numFmtId="4" fontId="13" fillId="3" borderId="8">
      <alignment horizontal="right" vertical="top" shrinkToFit="1"/>
      <protection locked="0"/>
    </xf>
    <xf numFmtId="167" fontId="15" fillId="5" borderId="0" applyBorder="0">
      <alignment horizontal="right" vertical="top" shrinkToFit="1"/>
    </xf>
    <xf numFmtId="167" fontId="15" fillId="5" borderId="12">
      <alignment horizontal="right" vertical="top" shrinkToFit="1"/>
    </xf>
    <xf numFmtId="167" fontId="12" fillId="3" borderId="0" applyBorder="0">
      <alignment horizontal="right" vertical="top" shrinkToFit="1"/>
      <protection locked="0"/>
    </xf>
    <xf numFmtId="167" fontId="12" fillId="3" borderId="12">
      <alignment horizontal="right" vertical="top" shrinkToFit="1"/>
      <protection locked="0"/>
    </xf>
    <xf numFmtId="167" fontId="12" fillId="5" borderId="0" applyBorder="0">
      <alignment horizontal="right" vertical="top" shrinkToFit="1"/>
    </xf>
    <xf numFmtId="167" fontId="12" fillId="5" borderId="12">
      <alignment horizontal="right" vertical="top" shrinkToFit="1"/>
    </xf>
    <xf numFmtId="167" fontId="15" fillId="3" borderId="0" applyBorder="0">
      <alignment horizontal="right" vertical="top" shrinkToFit="1"/>
      <protection locked="0"/>
    </xf>
    <xf numFmtId="167" fontId="15" fillId="3" borderId="12">
      <alignment horizontal="right" vertical="top" shrinkToFit="1"/>
      <protection locked="0"/>
    </xf>
    <xf numFmtId="164" fontId="15" fillId="3" borderId="0" applyBorder="0">
      <alignment horizontal="right" vertical="top" shrinkToFit="1"/>
      <protection locked="0"/>
    </xf>
    <xf numFmtId="169" fontId="15" fillId="3" borderId="0" applyBorder="0">
      <alignment horizontal="right" vertical="top" shrinkToFit="1"/>
      <protection locked="0"/>
    </xf>
    <xf numFmtId="167" fontId="13" fillId="5" borderId="8">
      <alignment horizontal="right" vertical="top" shrinkToFit="1"/>
    </xf>
    <xf numFmtId="0" fontId="13" fillId="5" borderId="5">
      <alignment horizontal="left" vertical="top" shrinkToFit="1"/>
    </xf>
    <xf numFmtId="0" fontId="13" fillId="5" borderId="11">
      <alignment horizontal="left" vertical="top" shrinkToFit="1"/>
    </xf>
    <xf numFmtId="0" fontId="13" fillId="5" borderId="8">
      <alignment horizontal="left" vertical="top" shrinkToFit="1"/>
    </xf>
    <xf numFmtId="164" fontId="13" fillId="5" borderId="7">
      <alignment horizontal="right" vertical="top" shrinkToFit="1"/>
    </xf>
    <xf numFmtId="164" fontId="13" fillId="5" borderId="12">
      <alignment horizontal="right" vertical="top" shrinkToFit="1"/>
    </xf>
    <xf numFmtId="164" fontId="13" fillId="5" borderId="4">
      <alignment horizontal="right" vertical="top" shrinkToFit="1"/>
    </xf>
    <xf numFmtId="165" fontId="13" fillId="5" borderId="12">
      <alignment horizontal="right" vertical="top" shrinkToFit="1"/>
    </xf>
    <xf numFmtId="165" fontId="15" fillId="5" borderId="10">
      <alignment horizontal="right" vertical="top" shrinkToFit="1"/>
    </xf>
    <xf numFmtId="171" fontId="13" fillId="5" borderId="6">
      <alignment horizontal="right" vertical="top" shrinkToFit="1"/>
    </xf>
    <xf numFmtId="171" fontId="13" fillId="5" borderId="5">
      <alignment horizontal="right" vertical="top" shrinkToFit="1"/>
    </xf>
    <xf numFmtId="171" fontId="15" fillId="5" borderId="0" applyBorder="0">
      <alignment horizontal="right" vertical="top" shrinkToFit="1"/>
    </xf>
    <xf numFmtId="171" fontId="13" fillId="5" borderId="11">
      <alignment horizontal="right" vertical="top" shrinkToFit="1"/>
    </xf>
    <xf numFmtId="171" fontId="13" fillId="5" borderId="0" applyBorder="0">
      <alignment horizontal="right" vertical="top" shrinkToFit="1"/>
    </xf>
    <xf numFmtId="171" fontId="13" fillId="5" borderId="3">
      <alignment horizontal="right" vertical="top" shrinkToFit="1"/>
    </xf>
    <xf numFmtId="171" fontId="13" fillId="5" borderId="1">
      <alignment horizontal="right" vertical="top" shrinkToFit="1"/>
    </xf>
    <xf numFmtId="169" fontId="13" fillId="5" borderId="3">
      <alignment horizontal="right" vertical="top" shrinkToFit="1"/>
    </xf>
    <xf numFmtId="169" fontId="13" fillId="5" borderId="1">
      <alignment horizontal="right" vertical="top" shrinkToFit="1"/>
    </xf>
    <xf numFmtId="3" fontId="13" fillId="5" borderId="0" applyBorder="0">
      <alignment horizontal="right" vertical="top" shrinkToFit="1"/>
    </xf>
    <xf numFmtId="3" fontId="13" fillId="5" borderId="12">
      <alignment horizontal="right" vertical="top" shrinkToFit="1"/>
    </xf>
    <xf numFmtId="165" fontId="13" fillId="5" borderId="0" applyBorder="0">
      <alignment horizontal="right" vertical="top" shrinkToFit="1"/>
    </xf>
    <xf numFmtId="164" fontId="13" fillId="5" borderId="10">
      <alignment horizontal="right" vertical="top" shrinkToFit="1"/>
    </xf>
    <xf numFmtId="169" fontId="13" fillId="5" borderId="12">
      <alignment horizontal="right" vertical="top" shrinkToFit="1"/>
    </xf>
    <xf numFmtId="169" fontId="15" fillId="5" borderId="10">
      <alignment horizontal="right" vertical="top" shrinkToFit="1"/>
    </xf>
    <xf numFmtId="170" fontId="13" fillId="5" borderId="5">
      <alignment horizontal="right" vertical="top" shrinkToFit="1"/>
    </xf>
    <xf numFmtId="170" fontId="13" fillId="5" borderId="1">
      <alignment horizontal="right" vertical="top" shrinkToFit="1"/>
    </xf>
    <xf numFmtId="0" fontId="13" fillId="5" borderId="13">
      <alignment horizontal="left" vertical="top" shrinkToFit="1"/>
    </xf>
    <xf numFmtId="0" fontId="13" fillId="5" borderId="14">
      <alignment horizontal="left" vertical="top" shrinkToFit="1"/>
    </xf>
    <xf numFmtId="0" fontId="12" fillId="5" borderId="14">
      <alignment vertical="top" shrinkToFit="1"/>
    </xf>
    <xf numFmtId="0" fontId="12" fillId="3" borderId="14">
      <alignment vertical="top" shrinkToFit="1"/>
      <protection locked="0"/>
    </xf>
    <xf numFmtId="0" fontId="13" fillId="3" borderId="14">
      <alignment vertical="top" shrinkToFit="1"/>
      <protection locked="0"/>
    </xf>
    <xf numFmtId="0" fontId="15" fillId="3" borderId="14">
      <alignment vertical="top" shrinkToFit="1"/>
      <protection locked="0"/>
    </xf>
    <xf numFmtId="0" fontId="16" fillId="3" borderId="14">
      <alignment vertical="top" shrinkToFit="1"/>
      <protection locked="0"/>
    </xf>
    <xf numFmtId="0" fontId="8" fillId="5" borderId="8">
      <alignment horizontal="left" vertical="top" shrinkToFit="1"/>
    </xf>
    <xf numFmtId="164" fontId="8" fillId="5" borderId="12">
      <alignment horizontal="right" vertical="top" shrinkToFit="1"/>
    </xf>
    <xf numFmtId="164" fontId="8" fillId="5" borderId="4">
      <alignment horizontal="right" vertical="top" shrinkToFit="1"/>
    </xf>
    <xf numFmtId="0" fontId="8" fillId="5" borderId="2">
      <alignment vertical="top" shrinkToFit="1"/>
    </xf>
    <xf numFmtId="165" fontId="8" fillId="5" borderId="12">
      <alignment horizontal="right" vertical="top" shrinkToFit="1"/>
    </xf>
    <xf numFmtId="165" fontId="9" fillId="5" borderId="10">
      <alignment horizontal="right" vertical="top" shrinkToFit="1"/>
    </xf>
    <xf numFmtId="171" fontId="8" fillId="5" borderId="6">
      <alignment horizontal="right" vertical="top" shrinkToFit="1"/>
    </xf>
    <xf numFmtId="171" fontId="8" fillId="5" borderId="5">
      <alignment horizontal="right" vertical="top" shrinkToFit="1"/>
    </xf>
    <xf numFmtId="171" fontId="9" fillId="5" borderId="0" applyBorder="0">
      <alignment horizontal="right" vertical="top" shrinkToFit="1"/>
    </xf>
    <xf numFmtId="171" fontId="9" fillId="5" borderId="11">
      <alignment horizontal="right" vertical="top" shrinkToFit="1"/>
    </xf>
    <xf numFmtId="171" fontId="8" fillId="5" borderId="0" applyBorder="0">
      <alignment horizontal="right" vertical="top" shrinkToFit="1"/>
    </xf>
    <xf numFmtId="171" fontId="8" fillId="5" borderId="11">
      <alignment horizontal="right" vertical="top" shrinkToFit="1"/>
    </xf>
    <xf numFmtId="171" fontId="8" fillId="5" borderId="3">
      <alignment horizontal="right" vertical="top" shrinkToFit="1"/>
    </xf>
    <xf numFmtId="171" fontId="8" fillId="5" borderId="1">
      <alignment horizontal="right" vertical="top" shrinkToFit="1"/>
    </xf>
    <xf numFmtId="169" fontId="8" fillId="5" borderId="3">
      <alignment horizontal="right" vertical="top" shrinkToFit="1"/>
    </xf>
    <xf numFmtId="169" fontId="8" fillId="5" borderId="1">
      <alignment horizontal="right" vertical="top" shrinkToFit="1"/>
    </xf>
    <xf numFmtId="3" fontId="8" fillId="5" borderId="0" applyBorder="0">
      <alignment horizontal="right" vertical="top" shrinkToFit="1"/>
    </xf>
    <xf numFmtId="3" fontId="8" fillId="5" borderId="12">
      <alignment horizontal="right" vertical="top" shrinkToFit="1"/>
    </xf>
    <xf numFmtId="164" fontId="8" fillId="5" borderId="10">
      <alignment horizontal="right" vertical="top" shrinkToFit="1"/>
    </xf>
    <xf numFmtId="165" fontId="8" fillId="5" borderId="0" applyBorder="0">
      <alignment horizontal="right" vertical="top" shrinkToFit="1"/>
    </xf>
    <xf numFmtId="165" fontId="8" fillId="5" borderId="11">
      <alignment horizontal="right" vertical="top" shrinkToFit="1"/>
    </xf>
    <xf numFmtId="0" fontId="8" fillId="5" borderId="7">
      <alignment horizontal="left" vertical="top" shrinkToFit="1"/>
    </xf>
    <xf numFmtId="0" fontId="8" fillId="5" borderId="12">
      <alignment horizontal="left" vertical="top" shrinkToFit="1"/>
    </xf>
    <xf numFmtId="0" fontId="8" fillId="5" borderId="10">
      <alignment horizontal="left" vertical="top" shrinkToFit="1"/>
    </xf>
    <xf numFmtId="169" fontId="8" fillId="5" borderId="12">
      <alignment horizontal="right" vertical="top" shrinkToFit="1"/>
    </xf>
    <xf numFmtId="169" fontId="9" fillId="5" borderId="10">
      <alignment horizontal="right" vertical="top" shrinkToFit="1"/>
    </xf>
    <xf numFmtId="170" fontId="8" fillId="5" borderId="5">
      <alignment horizontal="right" vertical="top" shrinkToFit="1"/>
    </xf>
    <xf numFmtId="170" fontId="8" fillId="5" borderId="1">
      <alignment horizontal="right" vertical="top" shrinkToFit="1"/>
    </xf>
    <xf numFmtId="0" fontId="8" fillId="5" borderId="13">
      <alignment horizontal="left" vertical="top" shrinkToFit="1"/>
    </xf>
    <xf numFmtId="0" fontId="8" fillId="5" borderId="14">
      <alignment horizontal="left" vertical="top" shrinkToFit="1"/>
    </xf>
    <xf numFmtId="0" fontId="7" fillId="5" borderId="14">
      <alignment vertical="top" shrinkToFit="1"/>
    </xf>
    <xf numFmtId="0" fontId="7" fillId="3" borderId="14">
      <alignment vertical="top" shrinkToFit="1"/>
      <protection locked="0"/>
    </xf>
    <xf numFmtId="0" fontId="8" fillId="3" borderId="14">
      <alignment vertical="top" shrinkToFit="1"/>
      <protection locked="0"/>
    </xf>
    <xf numFmtId="0" fontId="9" fillId="3" borderId="14">
      <alignment vertical="top" shrinkToFit="1"/>
      <protection locked="0"/>
    </xf>
    <xf numFmtId="0" fontId="10" fillId="3" borderId="14">
      <alignment vertical="top" shrinkToFit="1"/>
      <protection locked="0"/>
    </xf>
    <xf numFmtId="0" fontId="27" fillId="34" borderId="0" applyNumberFormat="0" applyBorder="0" applyAlignment="0" applyProtection="0"/>
    <xf numFmtId="0" fontId="1" fillId="35" borderId="21" applyNumberFormat="0" applyFont="0" applyAlignment="0" applyProtection="0"/>
    <xf numFmtId="0" fontId="28" fillId="31" borderId="22" applyNumberFormat="0" applyAlignment="0" applyProtection="0"/>
    <xf numFmtId="0" fontId="29" fillId="0" borderId="0" applyNumberFormat="0" applyFill="0" applyBorder="0" applyAlignment="0" applyProtection="0"/>
    <xf numFmtId="0" fontId="4" fillId="0" borderId="23" applyNumberFormat="0" applyFill="0" applyAlignment="0" applyProtection="0"/>
    <xf numFmtId="0" fontId="3" fillId="0" borderId="0" applyNumberFormat="0" applyFill="0" applyBorder="0" applyAlignment="0" applyProtection="0"/>
    <xf numFmtId="0" fontId="36" fillId="0" borderId="0" applyNumberFormat="0" applyFill="0" applyBorder="0" applyAlignment="0" applyProtection="0">
      <alignment vertical="top"/>
      <protection locked="0"/>
    </xf>
    <xf numFmtId="0" fontId="1" fillId="0" borderId="25">
      <alignment vertical="center"/>
    </xf>
    <xf numFmtId="0" fontId="8" fillId="5" borderId="1" applyNumberFormat="0" applyFont="0" applyFill="0" applyBorder="0" applyAlignment="0" applyProtection="0">
      <alignment vertical="top" shrinkToFit="1"/>
    </xf>
  </cellStyleXfs>
  <cellXfs count="264">
    <xf numFmtId="0" fontId="0" fillId="0" borderId="0" xfId="0">
      <alignment vertical="center"/>
    </xf>
    <xf numFmtId="0" fontId="12" fillId="5" borderId="0" xfId="37">
      <alignment vertical="top" shrinkToFit="1"/>
    </xf>
    <xf numFmtId="0" fontId="14" fillId="5" borderId="0" xfId="40">
      <alignment vertical="top" shrinkToFit="1"/>
    </xf>
    <xf numFmtId="0" fontId="13" fillId="5" borderId="0" xfId="68">
      <alignment vertical="top" shrinkToFit="1"/>
    </xf>
    <xf numFmtId="0" fontId="13" fillId="5" borderId="1" xfId="38">
      <alignment vertical="top" shrinkToFit="1"/>
    </xf>
    <xf numFmtId="0" fontId="13" fillId="3" borderId="1" xfId="39">
      <alignment horizontal="left" vertical="top" shrinkToFit="1"/>
      <protection locked="0"/>
    </xf>
    <xf numFmtId="0" fontId="13" fillId="5" borderId="2" xfId="41">
      <alignment horizontal="center" vertical="top" shrinkToFit="1"/>
    </xf>
    <xf numFmtId="0" fontId="13" fillId="5" borderId="3" xfId="42">
      <alignment horizontal="center" vertical="top" shrinkToFit="1"/>
    </xf>
    <xf numFmtId="0" fontId="13" fillId="5" borderId="4" xfId="43">
      <alignment horizontal="center" vertical="top" shrinkToFit="1"/>
    </xf>
    <xf numFmtId="14" fontId="13" fillId="3" borderId="3" xfId="44">
      <alignment horizontal="right" vertical="top" shrinkToFit="1"/>
      <protection locked="0"/>
    </xf>
    <xf numFmtId="14" fontId="13" fillId="3" borderId="4" xfId="45">
      <alignment horizontal="right" vertical="top" shrinkToFit="1"/>
      <protection locked="0"/>
    </xf>
    <xf numFmtId="0" fontId="13" fillId="5" borderId="5" xfId="46">
      <alignment vertical="top" shrinkToFit="1"/>
    </xf>
    <xf numFmtId="166" fontId="13" fillId="3" borderId="6" xfId="47">
      <alignment horizontal="right" vertical="top" shrinkToFit="1"/>
      <protection locked="0"/>
    </xf>
    <xf numFmtId="168" fontId="13" fillId="3" borderId="6" xfId="48">
      <alignment horizontal="right" vertical="top" shrinkToFit="1"/>
      <protection locked="0"/>
    </xf>
    <xf numFmtId="167" fontId="13" fillId="3" borderId="7" xfId="49">
      <alignment horizontal="right" vertical="top" shrinkToFit="1"/>
      <protection locked="0"/>
    </xf>
    <xf numFmtId="0" fontId="13" fillId="5" borderId="8" xfId="50">
      <alignment vertical="top" shrinkToFit="1"/>
    </xf>
    <xf numFmtId="166" fontId="13" fillId="3" borderId="9" xfId="51">
      <alignment horizontal="right" vertical="top" shrinkToFit="1"/>
      <protection locked="0"/>
    </xf>
    <xf numFmtId="168" fontId="13" fillId="3" borderId="9" xfId="52">
      <alignment horizontal="right" vertical="top" shrinkToFit="1"/>
      <protection locked="0"/>
    </xf>
    <xf numFmtId="167" fontId="13" fillId="3" borderId="10" xfId="53">
      <alignment horizontal="right" vertical="top" shrinkToFit="1"/>
      <protection locked="0"/>
    </xf>
    <xf numFmtId="14" fontId="13" fillId="3" borderId="6" xfId="54">
      <alignment horizontal="right" vertical="top" shrinkToFit="1"/>
      <protection locked="0"/>
    </xf>
    <xf numFmtId="164" fontId="13" fillId="3" borderId="6" xfId="55">
      <alignment horizontal="right" vertical="top" shrinkToFit="1"/>
      <protection locked="0"/>
    </xf>
    <xf numFmtId="4" fontId="13" fillId="3" borderId="7" xfId="56">
      <alignment horizontal="right" vertical="top" shrinkToFit="1"/>
      <protection locked="0"/>
    </xf>
    <xf numFmtId="14" fontId="13" fillId="3" borderId="9" xfId="57">
      <alignment horizontal="right" vertical="top" shrinkToFit="1"/>
      <protection locked="0"/>
    </xf>
    <xf numFmtId="164" fontId="13" fillId="3" borderId="9" xfId="58">
      <alignment horizontal="right" vertical="top" shrinkToFit="1"/>
      <protection locked="0"/>
    </xf>
    <xf numFmtId="4" fontId="13" fillId="3" borderId="10" xfId="59">
      <alignment horizontal="right" vertical="top" shrinkToFit="1"/>
      <protection locked="0"/>
    </xf>
    <xf numFmtId="0" fontId="13" fillId="5" borderId="1" xfId="60">
      <alignment horizontal="center" vertical="top" shrinkToFit="1"/>
    </xf>
    <xf numFmtId="164" fontId="13" fillId="5" borderId="6" xfId="61">
      <alignment horizontal="right" vertical="top" shrinkToFit="1"/>
    </xf>
    <xf numFmtId="164" fontId="13" fillId="5" borderId="5" xfId="62">
      <alignment horizontal="right" vertical="top" shrinkToFit="1"/>
    </xf>
    <xf numFmtId="0" fontId="15" fillId="5" borderId="11" xfId="63">
      <alignment vertical="top" shrinkToFit="1"/>
    </xf>
    <xf numFmtId="164" fontId="12" fillId="3" borderId="0" xfId="64">
      <alignment horizontal="right" vertical="top" shrinkToFit="1"/>
      <protection locked="0"/>
    </xf>
    <xf numFmtId="164" fontId="13" fillId="5" borderId="11" xfId="65">
      <alignment horizontal="right" vertical="top" shrinkToFit="1"/>
    </xf>
    <xf numFmtId="164" fontId="13" fillId="5" borderId="9" xfId="66">
      <alignment horizontal="right" vertical="top" shrinkToFit="1"/>
    </xf>
    <xf numFmtId="164" fontId="13" fillId="5" borderId="8" xfId="67">
      <alignment horizontal="right" vertical="top" shrinkToFit="1"/>
    </xf>
    <xf numFmtId="167" fontId="13" fillId="5" borderId="6" xfId="69">
      <alignment horizontal="right" vertical="top" shrinkToFit="1"/>
    </xf>
    <xf numFmtId="167" fontId="13" fillId="5" borderId="7" xfId="70">
      <alignment horizontal="right" vertical="top" shrinkToFit="1"/>
    </xf>
    <xf numFmtId="0" fontId="15" fillId="5" borderId="8" xfId="71">
      <alignment vertical="top" shrinkToFit="1"/>
    </xf>
    <xf numFmtId="167" fontId="12" fillId="3" borderId="9" xfId="72">
      <alignment horizontal="right" vertical="top" shrinkToFit="1"/>
      <protection locked="0"/>
    </xf>
    <xf numFmtId="167" fontId="12" fillId="3" borderId="10" xfId="73">
      <alignment horizontal="right" vertical="top" shrinkToFit="1"/>
      <protection locked="0"/>
    </xf>
    <xf numFmtId="168" fontId="13" fillId="3" borderId="3" xfId="74">
      <alignment horizontal="right" vertical="top" shrinkToFit="1"/>
      <protection locked="0"/>
    </xf>
    <xf numFmtId="167" fontId="13" fillId="3" borderId="4" xfId="75">
      <alignment horizontal="right" vertical="top" shrinkToFit="1"/>
      <protection locked="0"/>
    </xf>
    <xf numFmtId="164" fontId="13" fillId="3" borderId="3" xfId="76">
      <alignment horizontal="right" vertical="top" shrinkToFit="1"/>
      <protection locked="0"/>
    </xf>
    <xf numFmtId="166" fontId="13" fillId="3" borderId="3" xfId="77">
      <alignment horizontal="right" vertical="top" shrinkToFit="1"/>
      <protection locked="0"/>
    </xf>
    <xf numFmtId="4" fontId="13" fillId="3" borderId="4" xfId="78">
      <alignment horizontal="right" vertical="top" shrinkToFit="1"/>
      <protection locked="0"/>
    </xf>
    <xf numFmtId="165" fontId="13" fillId="3" borderId="1" xfId="79">
      <alignment horizontal="right" vertical="top" shrinkToFit="1"/>
      <protection locked="0"/>
    </xf>
    <xf numFmtId="168" fontId="13" fillId="3" borderId="4" xfId="80">
      <alignment horizontal="right" vertical="top" shrinkToFit="1"/>
      <protection locked="0"/>
    </xf>
    <xf numFmtId="165" fontId="13" fillId="3" borderId="3" xfId="81">
      <alignment horizontal="right" vertical="top" shrinkToFit="1"/>
      <protection locked="0"/>
    </xf>
    <xf numFmtId="165" fontId="13" fillId="5" borderId="1" xfId="82">
      <alignment horizontal="right" vertical="top" shrinkToFit="1"/>
    </xf>
    <xf numFmtId="164" fontId="13" fillId="5" borderId="1" xfId="83">
      <alignment horizontal="right" vertical="top" shrinkToFit="1"/>
    </xf>
    <xf numFmtId="166" fontId="13" fillId="5" borderId="5" xfId="84">
      <alignment horizontal="right" vertical="top" shrinkToFit="1"/>
    </xf>
    <xf numFmtId="166" fontId="13" fillId="3" borderId="11" xfId="85">
      <alignment horizontal="right" vertical="top" shrinkToFit="1"/>
      <protection locked="0"/>
    </xf>
    <xf numFmtId="166" fontId="13" fillId="3" borderId="8" xfId="86">
      <alignment horizontal="right" vertical="top" shrinkToFit="1"/>
      <protection locked="0"/>
    </xf>
    <xf numFmtId="165" fontId="13" fillId="5" borderId="6" xfId="87">
      <alignment horizontal="right" vertical="top" shrinkToFit="1"/>
    </xf>
    <xf numFmtId="165" fontId="13" fillId="5" borderId="7" xfId="88">
      <alignment horizontal="right" vertical="top" shrinkToFit="1"/>
    </xf>
    <xf numFmtId="165" fontId="12" fillId="3" borderId="0" xfId="89">
      <alignment horizontal="right" vertical="top" shrinkToFit="1"/>
      <protection locked="0"/>
    </xf>
    <xf numFmtId="165" fontId="12" fillId="3" borderId="12" xfId="90">
      <alignment horizontal="right" vertical="top" shrinkToFit="1"/>
      <protection locked="0"/>
    </xf>
    <xf numFmtId="165" fontId="12" fillId="3" borderId="9" xfId="91">
      <alignment horizontal="right" vertical="top" shrinkToFit="1"/>
      <protection locked="0"/>
    </xf>
    <xf numFmtId="165" fontId="12" fillId="3" borderId="10" xfId="92">
      <alignment horizontal="right" vertical="top" shrinkToFit="1"/>
      <protection locked="0"/>
    </xf>
    <xf numFmtId="166" fontId="13" fillId="3" borderId="7" xfId="93">
      <alignment horizontal="right" vertical="top" shrinkToFit="1"/>
      <protection locked="0"/>
    </xf>
    <xf numFmtId="165" fontId="13" fillId="5" borderId="9" xfId="94">
      <alignment horizontal="right" vertical="top" shrinkToFit="1"/>
    </xf>
    <xf numFmtId="166" fontId="13" fillId="3" borderId="10" xfId="95">
      <alignment horizontal="right" vertical="top" shrinkToFit="1"/>
      <protection locked="0"/>
    </xf>
    <xf numFmtId="169" fontId="13" fillId="5" borderId="6" xfId="96">
      <alignment horizontal="right" vertical="top" shrinkToFit="1"/>
    </xf>
    <xf numFmtId="169" fontId="13" fillId="5" borderId="5" xfId="97">
      <alignment horizontal="right" vertical="top" shrinkToFit="1"/>
    </xf>
    <xf numFmtId="169" fontId="12" fillId="3" borderId="0" xfId="98">
      <alignment horizontal="right" vertical="top" shrinkToFit="1"/>
      <protection locked="0"/>
    </xf>
    <xf numFmtId="169" fontId="13" fillId="5" borderId="11" xfId="99">
      <alignment horizontal="right" vertical="top" shrinkToFit="1"/>
    </xf>
    <xf numFmtId="169" fontId="13" fillId="5" borderId="9" xfId="100">
      <alignment horizontal="right" vertical="top" shrinkToFit="1"/>
    </xf>
    <xf numFmtId="169" fontId="13" fillId="5" borderId="8" xfId="101">
      <alignment horizontal="right" vertical="top" shrinkToFit="1"/>
    </xf>
    <xf numFmtId="164" fontId="13" fillId="3" borderId="11" xfId="102">
      <alignment horizontal="right" vertical="top" shrinkToFit="1"/>
      <protection locked="0"/>
    </xf>
    <xf numFmtId="164" fontId="13" fillId="3" borderId="8" xfId="103">
      <alignment horizontal="right" vertical="top" shrinkToFit="1"/>
      <protection locked="0"/>
    </xf>
    <xf numFmtId="170" fontId="13" fillId="5" borderId="6" xfId="104">
      <alignment horizontal="right" vertical="top" shrinkToFit="1"/>
    </xf>
    <xf numFmtId="4" fontId="13" fillId="5" borderId="7" xfId="105">
      <alignment horizontal="right" vertical="top" shrinkToFit="1"/>
    </xf>
    <xf numFmtId="164" fontId="15" fillId="5" borderId="0" xfId="106">
      <alignment horizontal="right" vertical="top" shrinkToFit="1"/>
    </xf>
    <xf numFmtId="170" fontId="15" fillId="5" borderId="0" xfId="107">
      <alignment horizontal="right" vertical="top" shrinkToFit="1"/>
    </xf>
    <xf numFmtId="4" fontId="15" fillId="5" borderId="12" xfId="108">
      <alignment horizontal="right" vertical="top" shrinkToFit="1"/>
    </xf>
    <xf numFmtId="0" fontId="13" fillId="5" borderId="11" xfId="109">
      <alignment vertical="top" shrinkToFit="1"/>
    </xf>
    <xf numFmtId="164" fontId="13" fillId="5" borderId="0" xfId="110">
      <alignment horizontal="right" vertical="top" shrinkToFit="1"/>
    </xf>
    <xf numFmtId="170" fontId="13" fillId="5" borderId="0" xfId="111">
      <alignment horizontal="right" vertical="top" shrinkToFit="1"/>
    </xf>
    <xf numFmtId="4" fontId="13" fillId="5" borderId="12" xfId="112">
      <alignment horizontal="right" vertical="top" shrinkToFit="1"/>
    </xf>
    <xf numFmtId="164" fontId="13" fillId="5" borderId="3" xfId="113">
      <alignment horizontal="right" vertical="top" shrinkToFit="1"/>
    </xf>
    <xf numFmtId="170" fontId="13" fillId="5" borderId="3" xfId="114">
      <alignment horizontal="right" vertical="top" shrinkToFit="1"/>
    </xf>
    <xf numFmtId="4" fontId="13" fillId="5" borderId="4" xfId="115">
      <alignment horizontal="right" vertical="top" shrinkToFit="1"/>
    </xf>
    <xf numFmtId="166" fontId="13" fillId="5" borderId="6" xfId="116">
      <alignment horizontal="right" vertical="top" shrinkToFit="1"/>
    </xf>
    <xf numFmtId="166" fontId="13" fillId="5" borderId="7" xfId="117">
      <alignment horizontal="right" vertical="top" shrinkToFit="1"/>
    </xf>
    <xf numFmtId="166" fontId="15" fillId="5" borderId="0" xfId="118">
      <alignment horizontal="right" vertical="top" shrinkToFit="1"/>
    </xf>
    <xf numFmtId="166" fontId="15" fillId="5" borderId="12" xfId="119">
      <alignment horizontal="right" vertical="top" shrinkToFit="1"/>
    </xf>
    <xf numFmtId="166" fontId="13" fillId="5" borderId="0" xfId="120">
      <alignment horizontal="right" vertical="top" shrinkToFit="1"/>
    </xf>
    <xf numFmtId="166" fontId="13" fillId="5" borderId="12" xfId="121">
      <alignment horizontal="right" vertical="top" shrinkToFit="1"/>
    </xf>
    <xf numFmtId="166" fontId="13" fillId="3" borderId="12" xfId="122">
      <alignment horizontal="right" vertical="top" shrinkToFit="1"/>
      <protection locked="0"/>
    </xf>
    <xf numFmtId="166" fontId="13" fillId="5" borderId="3" xfId="123">
      <alignment horizontal="right" vertical="top" shrinkToFit="1"/>
    </xf>
    <xf numFmtId="166" fontId="13" fillId="5" borderId="4" xfId="124">
      <alignment horizontal="right" vertical="top" shrinkToFit="1"/>
    </xf>
    <xf numFmtId="0" fontId="16" fillId="5" borderId="11" xfId="125">
      <alignment vertical="top" shrinkToFit="1"/>
    </xf>
    <xf numFmtId="164" fontId="16" fillId="5" borderId="0" xfId="126">
      <alignment horizontal="right" vertical="top" shrinkToFit="1"/>
    </xf>
    <xf numFmtId="164" fontId="12" fillId="5" borderId="0" xfId="127">
      <alignment horizontal="right" vertical="top" shrinkToFit="1"/>
    </xf>
    <xf numFmtId="0" fontId="13" fillId="5" borderId="3" xfId="128">
      <alignment vertical="top" shrinkToFit="1"/>
    </xf>
    <xf numFmtId="164" fontId="15" fillId="5" borderId="9" xfId="129">
      <alignment horizontal="right" vertical="top" shrinkToFit="1"/>
    </xf>
    <xf numFmtId="14" fontId="13" fillId="5" borderId="3" xfId="130">
      <alignment horizontal="center" vertical="top" shrinkToFit="1"/>
    </xf>
    <xf numFmtId="14" fontId="13" fillId="5" borderId="4" xfId="131">
      <alignment horizontal="center" vertical="top" shrinkToFit="1"/>
    </xf>
    <xf numFmtId="169" fontId="13" fillId="5" borderId="7" xfId="132">
      <alignment horizontal="right" vertical="top" shrinkToFit="1"/>
    </xf>
    <xf numFmtId="169" fontId="15" fillId="5" borderId="0" xfId="133">
      <alignment horizontal="right" vertical="top" shrinkToFit="1"/>
    </xf>
    <xf numFmtId="169" fontId="15" fillId="5" borderId="12" xfId="134">
      <alignment horizontal="right" vertical="top" shrinkToFit="1"/>
    </xf>
    <xf numFmtId="169" fontId="16" fillId="5" borderId="0" xfId="135">
      <alignment horizontal="right" vertical="top" shrinkToFit="1"/>
    </xf>
    <xf numFmtId="169" fontId="16" fillId="5" borderId="12" xfId="136">
      <alignment horizontal="right" vertical="top" shrinkToFit="1"/>
    </xf>
    <xf numFmtId="0" fontId="16" fillId="5" borderId="8" xfId="137">
      <alignment vertical="top" shrinkToFit="1"/>
    </xf>
    <xf numFmtId="169" fontId="16" fillId="5" borderId="9" xfId="138">
      <alignment horizontal="right" vertical="top" shrinkToFit="1"/>
    </xf>
    <xf numFmtId="169" fontId="16" fillId="5" borderId="10" xfId="139">
      <alignment horizontal="right" vertical="top" shrinkToFit="1"/>
    </xf>
    <xf numFmtId="169" fontId="12" fillId="5" borderId="0" xfId="140">
      <alignment horizontal="right" vertical="top" shrinkToFit="1"/>
    </xf>
    <xf numFmtId="169" fontId="15" fillId="5" borderId="9" xfId="141">
      <alignment horizontal="right" vertical="top" shrinkToFit="1"/>
    </xf>
    <xf numFmtId="170" fontId="13" fillId="5" borderId="7" xfId="142">
      <alignment horizontal="right" vertical="top" shrinkToFit="1"/>
    </xf>
    <xf numFmtId="170" fontId="15" fillId="5" borderId="12" xfId="143">
      <alignment horizontal="right" vertical="top" shrinkToFit="1"/>
    </xf>
    <xf numFmtId="170" fontId="16" fillId="3" borderId="0" xfId="144">
      <alignment horizontal="right" vertical="top" shrinkToFit="1"/>
      <protection locked="0"/>
    </xf>
    <xf numFmtId="170" fontId="16" fillId="3" borderId="12" xfId="145">
      <alignment horizontal="right" vertical="top" shrinkToFit="1"/>
      <protection locked="0"/>
    </xf>
    <xf numFmtId="170" fontId="15" fillId="3" borderId="0" xfId="146">
      <alignment horizontal="right" vertical="top" shrinkToFit="1"/>
      <protection locked="0"/>
    </xf>
    <xf numFmtId="170" fontId="15" fillId="3" borderId="12" xfId="147">
      <alignment horizontal="right" vertical="top" shrinkToFit="1"/>
      <protection locked="0"/>
    </xf>
    <xf numFmtId="170" fontId="16" fillId="3" borderId="9" xfId="148">
      <alignment horizontal="right" vertical="top" shrinkToFit="1"/>
      <protection locked="0"/>
    </xf>
    <xf numFmtId="170" fontId="16" fillId="3" borderId="10" xfId="149">
      <alignment horizontal="right" vertical="top" shrinkToFit="1"/>
      <protection locked="0"/>
    </xf>
    <xf numFmtId="3" fontId="13" fillId="5" borderId="6" xfId="150">
      <alignment horizontal="right" vertical="top" shrinkToFit="1"/>
    </xf>
    <xf numFmtId="3" fontId="13" fillId="5" borderId="7" xfId="151">
      <alignment horizontal="right" vertical="top" shrinkToFit="1"/>
    </xf>
    <xf numFmtId="3" fontId="15" fillId="5" borderId="0" xfId="152">
      <alignment horizontal="right" vertical="top" shrinkToFit="1"/>
    </xf>
    <xf numFmtId="3" fontId="15" fillId="5" borderId="12" xfId="153">
      <alignment horizontal="right" vertical="top" shrinkToFit="1"/>
    </xf>
    <xf numFmtId="3" fontId="16" fillId="5" borderId="0" xfId="154">
      <alignment horizontal="right" vertical="top" shrinkToFit="1"/>
    </xf>
    <xf numFmtId="3" fontId="16" fillId="5" borderId="12" xfId="155">
      <alignment horizontal="right" vertical="top" shrinkToFit="1"/>
    </xf>
    <xf numFmtId="3" fontId="16" fillId="5" borderId="9" xfId="156">
      <alignment horizontal="right" vertical="top" shrinkToFit="1"/>
    </xf>
    <xf numFmtId="3" fontId="16" fillId="5" borderId="10" xfId="157">
      <alignment horizontal="right" vertical="top" shrinkToFit="1"/>
    </xf>
    <xf numFmtId="3" fontId="12" fillId="5" borderId="0" xfId="158">
      <alignment horizontal="right" vertical="top" shrinkToFit="1"/>
    </xf>
    <xf numFmtId="3" fontId="12" fillId="5" borderId="12" xfId="159">
      <alignment horizontal="right" vertical="top" shrinkToFit="1"/>
    </xf>
    <xf numFmtId="3" fontId="12" fillId="5" borderId="9" xfId="160">
      <alignment horizontal="right" vertical="top" shrinkToFit="1"/>
    </xf>
    <xf numFmtId="3" fontId="12" fillId="5" borderId="10" xfId="161">
      <alignment horizontal="right" vertical="top" shrinkToFit="1"/>
    </xf>
    <xf numFmtId="165" fontId="15" fillId="5" borderId="0" xfId="162">
      <alignment horizontal="right" vertical="top" shrinkToFit="1"/>
    </xf>
    <xf numFmtId="165" fontId="15" fillId="5" borderId="12" xfId="163">
      <alignment horizontal="right" vertical="top" shrinkToFit="1"/>
    </xf>
    <xf numFmtId="165" fontId="15" fillId="3" borderId="0" xfId="164">
      <alignment horizontal="right" vertical="top" shrinkToFit="1"/>
      <protection locked="0"/>
    </xf>
    <xf numFmtId="165" fontId="15" fillId="3" borderId="12" xfId="165">
      <alignment horizontal="right" vertical="top" shrinkToFit="1"/>
      <protection locked="0"/>
    </xf>
    <xf numFmtId="165" fontId="12" fillId="5" borderId="0" xfId="166">
      <alignment horizontal="right" vertical="top" shrinkToFit="1"/>
    </xf>
    <xf numFmtId="165" fontId="12" fillId="5" borderId="12" xfId="167">
      <alignment horizontal="right" vertical="top" shrinkToFit="1"/>
    </xf>
    <xf numFmtId="165" fontId="12" fillId="5" borderId="9" xfId="168">
      <alignment horizontal="right" vertical="top" shrinkToFit="1"/>
    </xf>
    <xf numFmtId="165" fontId="12" fillId="5" borderId="10" xfId="169">
      <alignment horizontal="right" vertical="top" shrinkToFit="1"/>
    </xf>
    <xf numFmtId="165" fontId="13" fillId="5" borderId="5" xfId="170">
      <alignment horizontal="right" vertical="top" shrinkToFit="1"/>
    </xf>
    <xf numFmtId="165" fontId="13" fillId="5" borderId="11" xfId="171">
      <alignment horizontal="right" vertical="top" shrinkToFit="1"/>
    </xf>
    <xf numFmtId="165" fontId="13" fillId="5" borderId="8" xfId="172">
      <alignment horizontal="right" vertical="top" shrinkToFit="1"/>
    </xf>
    <xf numFmtId="165" fontId="13" fillId="5" borderId="3" xfId="173">
      <alignment horizontal="right" vertical="top" shrinkToFit="1"/>
    </xf>
    <xf numFmtId="169" fontId="13" fillId="5" borderId="0" xfId="174">
      <alignment horizontal="right" vertical="top" shrinkToFit="1"/>
    </xf>
    <xf numFmtId="14" fontId="12" fillId="5" borderId="3" xfId="175">
      <alignment horizontal="center" vertical="top" shrinkToFit="1"/>
    </xf>
    <xf numFmtId="14" fontId="12" fillId="5" borderId="4" xfId="176">
      <alignment horizontal="center" vertical="top" shrinkToFit="1"/>
    </xf>
    <xf numFmtId="164" fontId="12" fillId="5" borderId="3" xfId="177">
      <alignment horizontal="right" vertical="top" shrinkToFit="1"/>
    </xf>
    <xf numFmtId="164" fontId="12" fillId="5" borderId="4" xfId="178">
      <alignment horizontal="right" vertical="top" shrinkToFit="1"/>
    </xf>
    <xf numFmtId="170" fontId="13" fillId="5" borderId="12" xfId="179">
      <alignment horizontal="right" vertical="top" shrinkToFit="1"/>
    </xf>
    <xf numFmtId="170" fontId="13" fillId="5" borderId="4" xfId="180">
      <alignment horizontal="right" vertical="top" shrinkToFit="1"/>
    </xf>
    <xf numFmtId="170" fontId="13" fillId="5" borderId="11" xfId="181">
      <alignment horizontal="right" vertical="top" shrinkToFit="1"/>
    </xf>
    <xf numFmtId="170" fontId="12" fillId="5" borderId="0" xfId="182">
      <alignment horizontal="right" vertical="top" shrinkToFit="1"/>
    </xf>
    <xf numFmtId="170" fontId="13" fillId="5" borderId="9" xfId="183">
      <alignment horizontal="right" vertical="top" shrinkToFit="1"/>
    </xf>
    <xf numFmtId="170" fontId="13" fillId="5" borderId="8" xfId="184">
      <alignment horizontal="right" vertical="top" shrinkToFit="1"/>
    </xf>
    <xf numFmtId="0" fontId="13" fillId="5" borderId="3" xfId="185">
      <alignment horizontal="left" vertical="top" shrinkToFit="1"/>
    </xf>
    <xf numFmtId="0" fontId="13" fillId="2" borderId="0" xfId="186">
      <alignment vertical="top" shrinkToFit="1"/>
    </xf>
    <xf numFmtId="0" fontId="16" fillId="2" borderId="0" xfId="187">
      <alignment vertical="top" shrinkToFit="1"/>
    </xf>
    <xf numFmtId="0" fontId="13" fillId="2" borderId="0" xfId="188">
      <alignment horizontal="right" vertical="top" shrinkToFit="1"/>
    </xf>
    <xf numFmtId="0" fontId="12" fillId="2" borderId="0" xfId="189">
      <alignment vertical="top" shrinkToFit="1"/>
    </xf>
    <xf numFmtId="0" fontId="16" fillId="5" borderId="3" xfId="190">
      <alignment vertical="top" shrinkToFit="1"/>
    </xf>
    <xf numFmtId="0" fontId="13" fillId="5" borderId="3" xfId="191">
      <alignment horizontal="right" vertical="top" shrinkToFit="1"/>
    </xf>
    <xf numFmtId="14" fontId="13" fillId="5" borderId="5" xfId="193">
      <alignment horizontal="right" vertical="top" shrinkToFit="1"/>
    </xf>
    <xf numFmtId="166" fontId="13" fillId="5" borderId="11" xfId="192">
      <alignment horizontal="right" vertical="top" shrinkToFit="1"/>
    </xf>
    <xf numFmtId="14" fontId="13" fillId="5" borderId="11" xfId="194">
      <alignment horizontal="right" vertical="top" shrinkToFit="1"/>
    </xf>
    <xf numFmtId="14" fontId="13" fillId="3" borderId="11" xfId="195">
      <alignment horizontal="right" vertical="top" shrinkToFit="1"/>
      <protection locked="0"/>
    </xf>
    <xf numFmtId="14" fontId="13" fillId="5" borderId="8" xfId="196">
      <alignment horizontal="right" vertical="top" shrinkToFit="1"/>
    </xf>
    <xf numFmtId="166" fontId="13" fillId="5" borderId="8" xfId="197">
      <alignment horizontal="right" vertical="top" shrinkToFit="1"/>
    </xf>
    <xf numFmtId="167" fontId="13" fillId="5" borderId="5" xfId="198">
      <alignment horizontal="right" vertical="top" shrinkToFit="1"/>
    </xf>
    <xf numFmtId="168" fontId="13" fillId="5" borderId="5" xfId="202">
      <alignment horizontal="right" vertical="top" shrinkToFit="1"/>
    </xf>
    <xf numFmtId="4" fontId="13" fillId="5" borderId="5" xfId="206">
      <alignment horizontal="right" vertical="top" shrinkToFit="1"/>
    </xf>
    <xf numFmtId="167" fontId="13" fillId="5" borderId="11" xfId="199">
      <alignment horizontal="right" vertical="top" shrinkToFit="1"/>
    </xf>
    <xf numFmtId="168" fontId="13" fillId="5" borderId="11" xfId="203">
      <alignment horizontal="right" vertical="top" shrinkToFit="1"/>
    </xf>
    <xf numFmtId="4" fontId="13" fillId="5" borderId="11" xfId="207">
      <alignment horizontal="right" vertical="top" shrinkToFit="1"/>
    </xf>
    <xf numFmtId="167" fontId="13" fillId="3" borderId="11" xfId="200">
      <alignment horizontal="right" vertical="top" shrinkToFit="1"/>
      <protection locked="0"/>
    </xf>
    <xf numFmtId="168" fontId="13" fillId="3" borderId="11" xfId="204">
      <alignment horizontal="right" vertical="top" shrinkToFit="1"/>
      <protection locked="0"/>
    </xf>
    <xf numFmtId="4" fontId="13" fillId="3" borderId="11" xfId="208">
      <alignment horizontal="right" vertical="top" shrinkToFit="1"/>
      <protection locked="0"/>
    </xf>
    <xf numFmtId="167" fontId="13" fillId="3" borderId="8" xfId="201">
      <alignment horizontal="right" vertical="top" shrinkToFit="1"/>
      <protection locked="0"/>
    </xf>
    <xf numFmtId="168" fontId="13" fillId="3" borderId="8" xfId="205">
      <alignment horizontal="right" vertical="top" shrinkToFit="1"/>
      <protection locked="0"/>
    </xf>
    <xf numFmtId="4" fontId="13" fillId="3" borderId="8" xfId="209">
      <alignment horizontal="right" vertical="top" shrinkToFit="1"/>
      <protection locked="0"/>
    </xf>
    <xf numFmtId="167" fontId="15" fillId="5" borderId="0" xfId="210">
      <alignment horizontal="right" vertical="top" shrinkToFit="1"/>
    </xf>
    <xf numFmtId="167" fontId="15" fillId="5" borderId="12" xfId="211">
      <alignment horizontal="right" vertical="top" shrinkToFit="1"/>
    </xf>
    <xf numFmtId="167" fontId="12" fillId="3" borderId="0" xfId="212">
      <alignment horizontal="right" vertical="top" shrinkToFit="1"/>
      <protection locked="0"/>
    </xf>
    <xf numFmtId="167" fontId="12" fillId="3" borderId="12" xfId="213">
      <alignment horizontal="right" vertical="top" shrinkToFit="1"/>
      <protection locked="0"/>
    </xf>
    <xf numFmtId="167" fontId="12" fillId="5" borderId="0" xfId="214">
      <alignment horizontal="right" vertical="top" shrinkToFit="1"/>
    </xf>
    <xf numFmtId="167" fontId="12" fillId="5" borderId="12" xfId="215">
      <alignment horizontal="right" vertical="top" shrinkToFit="1"/>
    </xf>
    <xf numFmtId="167" fontId="15" fillId="3" borderId="0" xfId="216">
      <alignment horizontal="right" vertical="top" shrinkToFit="1"/>
      <protection locked="0"/>
    </xf>
    <xf numFmtId="167" fontId="15" fillId="3" borderId="12" xfId="217">
      <alignment horizontal="right" vertical="top" shrinkToFit="1"/>
      <protection locked="0"/>
    </xf>
    <xf numFmtId="164" fontId="15" fillId="3" borderId="0" xfId="218">
      <alignment horizontal="right" vertical="top" shrinkToFit="1"/>
      <protection locked="0"/>
    </xf>
    <xf numFmtId="169" fontId="15" fillId="3" borderId="0" xfId="219">
      <alignment horizontal="right" vertical="top" shrinkToFit="1"/>
      <protection locked="0"/>
    </xf>
    <xf numFmtId="167" fontId="13" fillId="5" borderId="8" xfId="220">
      <alignment horizontal="right" vertical="top" shrinkToFit="1"/>
    </xf>
    <xf numFmtId="0" fontId="13" fillId="5" borderId="5" xfId="221">
      <alignment horizontal="left" vertical="top" shrinkToFit="1"/>
    </xf>
    <xf numFmtId="0" fontId="13" fillId="5" borderId="11" xfId="222">
      <alignment horizontal="left" vertical="top" shrinkToFit="1"/>
    </xf>
    <xf numFmtId="0" fontId="13" fillId="5" borderId="8" xfId="223">
      <alignment horizontal="left" vertical="top" shrinkToFit="1"/>
    </xf>
    <xf numFmtId="164" fontId="13" fillId="5" borderId="7" xfId="224">
      <alignment horizontal="right" vertical="top" shrinkToFit="1"/>
    </xf>
    <xf numFmtId="164" fontId="13" fillId="5" borderId="12" xfId="225">
      <alignment horizontal="right" vertical="top" shrinkToFit="1"/>
    </xf>
    <xf numFmtId="164" fontId="13" fillId="5" borderId="4" xfId="226">
      <alignment horizontal="right" vertical="top" shrinkToFit="1"/>
    </xf>
    <xf numFmtId="165" fontId="13" fillId="5" borderId="12" xfId="227">
      <alignment horizontal="right" vertical="top" shrinkToFit="1"/>
    </xf>
    <xf numFmtId="165" fontId="15" fillId="5" borderId="10" xfId="228">
      <alignment horizontal="right" vertical="top" shrinkToFit="1"/>
    </xf>
    <xf numFmtId="171" fontId="13" fillId="5" borderId="6" xfId="229">
      <alignment horizontal="right" vertical="top" shrinkToFit="1"/>
    </xf>
    <xf numFmtId="171" fontId="13" fillId="5" borderId="5" xfId="230">
      <alignment horizontal="right" vertical="top" shrinkToFit="1"/>
    </xf>
    <xf numFmtId="171" fontId="15" fillId="5" borderId="0" xfId="231">
      <alignment horizontal="right" vertical="top" shrinkToFit="1"/>
    </xf>
    <xf numFmtId="171" fontId="13" fillId="5" borderId="11" xfId="232">
      <alignment horizontal="right" vertical="top" shrinkToFit="1"/>
    </xf>
    <xf numFmtId="171" fontId="13" fillId="5" borderId="0" xfId="233">
      <alignment horizontal="right" vertical="top" shrinkToFit="1"/>
    </xf>
    <xf numFmtId="171" fontId="13" fillId="5" borderId="3" xfId="234">
      <alignment horizontal="right" vertical="top" shrinkToFit="1"/>
    </xf>
    <xf numFmtId="171" fontId="13" fillId="5" borderId="1" xfId="235">
      <alignment horizontal="right" vertical="top" shrinkToFit="1"/>
    </xf>
    <xf numFmtId="169" fontId="13" fillId="5" borderId="3" xfId="236">
      <alignment horizontal="right" vertical="top" shrinkToFit="1"/>
    </xf>
    <xf numFmtId="169" fontId="13" fillId="5" borderId="1" xfId="237">
      <alignment horizontal="right" vertical="top" shrinkToFit="1"/>
    </xf>
    <xf numFmtId="3" fontId="13" fillId="5" borderId="0" xfId="238">
      <alignment horizontal="right" vertical="top" shrinkToFit="1"/>
    </xf>
    <xf numFmtId="3" fontId="13" fillId="5" borderId="12" xfId="239">
      <alignment horizontal="right" vertical="top" shrinkToFit="1"/>
    </xf>
    <xf numFmtId="165" fontId="13" fillId="5" borderId="0" xfId="240">
      <alignment horizontal="right" vertical="top" shrinkToFit="1"/>
    </xf>
    <xf numFmtId="164" fontId="13" fillId="5" borderId="10" xfId="241">
      <alignment horizontal="right" vertical="top" shrinkToFit="1"/>
    </xf>
    <xf numFmtId="169" fontId="13" fillId="5" borderId="12" xfId="242">
      <alignment horizontal="right" vertical="top" shrinkToFit="1"/>
    </xf>
    <xf numFmtId="169" fontId="15" fillId="5" borderId="10" xfId="243">
      <alignment horizontal="right" vertical="top" shrinkToFit="1"/>
    </xf>
    <xf numFmtId="170" fontId="13" fillId="5" borderId="5" xfId="244">
      <alignment horizontal="right" vertical="top" shrinkToFit="1"/>
    </xf>
    <xf numFmtId="170" fontId="13" fillId="5" borderId="1" xfId="245">
      <alignment horizontal="right" vertical="top" shrinkToFit="1"/>
    </xf>
    <xf numFmtId="0" fontId="13" fillId="5" borderId="13" xfId="246">
      <alignment horizontal="left" vertical="top" shrinkToFit="1"/>
    </xf>
    <xf numFmtId="0" fontId="13" fillId="5" borderId="14" xfId="247">
      <alignment horizontal="left" vertical="top" shrinkToFit="1"/>
    </xf>
    <xf numFmtId="0" fontId="12" fillId="3" borderId="14" xfId="249">
      <alignment vertical="top" shrinkToFit="1"/>
      <protection locked="0"/>
    </xf>
    <xf numFmtId="0" fontId="12" fillId="5" borderId="14" xfId="248">
      <alignment vertical="top" shrinkToFit="1"/>
    </xf>
    <xf numFmtId="0" fontId="13" fillId="3" borderId="14" xfId="250">
      <alignment vertical="top" shrinkToFit="1"/>
      <protection locked="0"/>
    </xf>
    <xf numFmtId="0" fontId="15" fillId="3" borderId="14" xfId="251">
      <alignment vertical="top" shrinkToFit="1"/>
      <protection locked="0"/>
    </xf>
    <xf numFmtId="0" fontId="16" fillId="3" borderId="14" xfId="252">
      <alignment vertical="top" shrinkToFit="1"/>
      <protection locked="0"/>
    </xf>
    <xf numFmtId="164" fontId="0" fillId="0" borderId="0" xfId="0" applyNumberFormat="1">
      <alignment vertical="center"/>
    </xf>
    <xf numFmtId="4" fontId="0" fillId="0" borderId="0" xfId="0" applyNumberFormat="1">
      <alignment vertical="center"/>
    </xf>
    <xf numFmtId="0" fontId="0" fillId="0" borderId="0" xfId="0" applyNumberFormat="1">
      <alignment vertical="center"/>
    </xf>
    <xf numFmtId="0" fontId="0" fillId="0" borderId="0" xfId="0" quotePrefix="1">
      <alignment vertical="center"/>
    </xf>
    <xf numFmtId="0" fontId="13" fillId="5" borderId="13" xfId="246" applyAlignment="1">
      <alignment horizontal="left" vertical="top" wrapText="1" shrinkToFit="1"/>
    </xf>
    <xf numFmtId="0" fontId="12" fillId="3" borderId="14" xfId="249" applyAlignment="1">
      <alignment vertical="top" wrapText="1" shrinkToFit="1"/>
      <protection locked="0"/>
    </xf>
    <xf numFmtId="0" fontId="0" fillId="0" borderId="0" xfId="0" applyAlignment="1">
      <alignment vertical="center" wrapText="1"/>
    </xf>
    <xf numFmtId="0" fontId="30" fillId="0" borderId="24" xfId="0" applyFont="1" applyBorder="1" applyAlignment="1">
      <alignment horizontal="left" vertical="center" wrapText="1" indent="4"/>
    </xf>
    <xf numFmtId="0" fontId="0" fillId="0" borderId="24" xfId="0" applyBorder="1">
      <alignment vertical="center"/>
    </xf>
    <xf numFmtId="0" fontId="31" fillId="0" borderId="24" xfId="0" applyFont="1" applyBorder="1" applyAlignment="1">
      <alignment horizontal="center" vertical="center" wrapText="1"/>
    </xf>
    <xf numFmtId="0" fontId="32" fillId="0" borderId="24" xfId="0" applyFont="1" applyBorder="1" applyAlignment="1">
      <alignment vertical="center" wrapText="1"/>
    </xf>
    <xf numFmtId="0" fontId="33" fillId="0" borderId="24" xfId="0" applyFont="1" applyBorder="1" applyAlignment="1">
      <alignment vertical="center" wrapText="1"/>
    </xf>
    <xf numFmtId="0" fontId="0" fillId="0" borderId="24" xfId="0" applyFont="1" applyBorder="1" applyAlignment="1">
      <alignment vertical="center" wrapText="1"/>
    </xf>
    <xf numFmtId="0" fontId="0" fillId="0" borderId="24" xfId="0" applyBorder="1" applyAlignment="1">
      <alignment vertical="center" wrapText="1"/>
    </xf>
    <xf numFmtId="0" fontId="36" fillId="0" borderId="24" xfId="294" applyBorder="1" applyAlignment="1" applyProtection="1">
      <alignment vertical="center" wrapText="1"/>
    </xf>
    <xf numFmtId="0" fontId="37" fillId="0" borderId="24" xfId="0" applyFont="1" applyBorder="1" applyAlignment="1">
      <alignment vertical="center" wrapText="1"/>
    </xf>
    <xf numFmtId="0" fontId="35" fillId="0" borderId="24" xfId="0" applyFont="1" applyBorder="1" applyAlignment="1">
      <alignment vertical="center" wrapText="1"/>
    </xf>
    <xf numFmtId="0" fontId="0" fillId="0" borderId="24" xfId="0" applyBorder="1" applyAlignment="1">
      <alignment horizontal="left" vertical="center" wrapText="1" indent="1"/>
    </xf>
    <xf numFmtId="0" fontId="0" fillId="0" borderId="24" xfId="0" applyBorder="1" applyAlignment="1">
      <alignment horizontal="left" vertical="center" wrapText="1" indent="2"/>
    </xf>
    <xf numFmtId="0" fontId="36" fillId="0" borderId="24" xfId="294" applyBorder="1" applyAlignment="1" applyProtection="1">
      <alignment horizontal="left" vertical="center" wrapText="1" indent="1"/>
    </xf>
    <xf numFmtId="0" fontId="1" fillId="0" borderId="24" xfId="295" applyFont="1" applyBorder="1" applyAlignment="1">
      <alignment horizontal="left" vertical="center" wrapText="1" indent="1"/>
    </xf>
    <xf numFmtId="0" fontId="0" fillId="0" borderId="0" xfId="0" applyBorder="1" applyAlignment="1">
      <alignment vertical="center" wrapText="1"/>
    </xf>
    <xf numFmtId="0" fontId="1" fillId="0" borderId="24" xfId="295" applyNumberFormat="1" applyFont="1" applyBorder="1" applyAlignment="1">
      <alignment vertical="center" wrapText="1"/>
    </xf>
    <xf numFmtId="0" fontId="1" fillId="0" borderId="24" xfId="295" applyFont="1" applyBorder="1" applyAlignment="1">
      <alignment vertical="center" wrapText="1"/>
    </xf>
    <xf numFmtId="0" fontId="1" fillId="0" borderId="24" xfId="295" applyFont="1" applyBorder="1" applyAlignment="1">
      <alignment vertical="top" wrapText="1"/>
    </xf>
    <xf numFmtId="0" fontId="0" fillId="0" borderId="24" xfId="0" applyNumberFormat="1" applyBorder="1" applyAlignment="1">
      <alignment horizontal="left" vertical="center" wrapText="1"/>
    </xf>
    <xf numFmtId="0" fontId="36" fillId="0" borderId="0" xfId="294" applyBorder="1" applyAlignment="1" applyProtection="1">
      <alignment vertical="center" wrapText="1"/>
    </xf>
    <xf numFmtId="0" fontId="0" fillId="36" borderId="1" xfId="0" applyFill="1" applyBorder="1" applyAlignment="1">
      <alignment vertical="center" wrapText="1"/>
    </xf>
    <xf numFmtId="0" fontId="0" fillId="0" borderId="26" xfId="0" applyBorder="1" applyAlignment="1">
      <alignment vertical="center" wrapText="1"/>
    </xf>
    <xf numFmtId="0" fontId="30" fillId="0" borderId="24" xfId="0" applyFont="1" applyBorder="1" applyAlignment="1">
      <alignment horizontal="center" vertical="center" wrapText="1"/>
    </xf>
    <xf numFmtId="0" fontId="0" fillId="0" borderId="25" xfId="0" applyBorder="1" applyAlignment="1">
      <alignment vertical="center" wrapText="1"/>
    </xf>
    <xf numFmtId="0" fontId="0" fillId="0" borderId="25" xfId="0" applyBorder="1">
      <alignment vertical="center"/>
    </xf>
    <xf numFmtId="0" fontId="35" fillId="0" borderId="25" xfId="0" applyFont="1" applyBorder="1" applyAlignment="1">
      <alignment vertical="center" wrapText="1"/>
    </xf>
    <xf numFmtId="0" fontId="0" fillId="0" borderId="25" xfId="0" applyBorder="1" applyAlignment="1">
      <alignment horizontal="left" vertical="center" wrapText="1" indent="1"/>
    </xf>
    <xf numFmtId="0" fontId="40" fillId="37" borderId="0" xfId="296" applyFont="1" applyFill="1" applyBorder="1" applyAlignment="1">
      <alignment horizontal="left" vertical="top" indent="2" shrinkToFit="1"/>
    </xf>
    <xf numFmtId="0" fontId="0" fillId="0" borderId="25" xfId="0" applyBorder="1" applyAlignment="1">
      <alignment horizontal="left" vertical="center" wrapText="1"/>
    </xf>
    <xf numFmtId="0" fontId="0" fillId="0" borderId="25" xfId="0" applyFont="1" applyBorder="1" applyAlignment="1">
      <alignment vertical="center" wrapText="1"/>
    </xf>
    <xf numFmtId="0" fontId="0" fillId="0" borderId="27" xfId="0" applyBorder="1" applyAlignment="1">
      <alignment vertical="center" wrapText="1"/>
    </xf>
    <xf numFmtId="0" fontId="40" fillId="37" borderId="0" xfId="296" applyFont="1" applyFill="1" applyBorder="1" applyAlignment="1">
      <alignment horizontal="left" vertical="top" indent="1" shrinkToFit="1"/>
    </xf>
    <xf numFmtId="0" fontId="40" fillId="37" borderId="0" xfId="296" applyFont="1" applyFill="1" applyBorder="1" applyAlignment="1">
      <alignment horizontal="left" vertical="top" wrapText="1"/>
    </xf>
    <xf numFmtId="0" fontId="37" fillId="0" borderId="25" xfId="0" applyFont="1" applyBorder="1" applyAlignment="1">
      <alignment vertical="center" wrapText="1"/>
    </xf>
    <xf numFmtId="0" fontId="36" fillId="0" borderId="0" xfId="294" applyAlignment="1" applyProtection="1">
      <alignment horizontal="center" vertical="center"/>
    </xf>
    <xf numFmtId="0" fontId="36" fillId="0" borderId="24" xfId="294" applyBorder="1" applyAlignment="1" applyProtection="1">
      <alignment horizontal="center" vertical="center" wrapText="1"/>
    </xf>
    <xf numFmtId="0" fontId="12" fillId="5" borderId="0" xfId="37">
      <alignment vertical="top" shrinkToFit="1"/>
    </xf>
    <xf numFmtId="0" fontId="11" fillId="5" borderId="0" xfId="36">
      <alignment vertical="top" shrinkToFit="1"/>
    </xf>
    <xf numFmtId="0" fontId="14" fillId="5" borderId="0" xfId="40">
      <alignment vertical="top" shrinkToFit="1"/>
    </xf>
    <xf numFmtId="0" fontId="13" fillId="5" borderId="0" xfId="68">
      <alignment vertical="top" shrinkToFit="1"/>
    </xf>
  </cellXfs>
  <cellStyles count="29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294" builtinId="8"/>
    <cellStyle name="Input" xfId="34" builtinId="20" customBuiltin="1"/>
    <cellStyle name="Linked Cell" xfId="35" builtinId="24" customBuiltin="1"/>
    <cellStyle name="MSSStyle001" xfId="36"/>
    <cellStyle name="MSSStyle002" xfId="37"/>
    <cellStyle name="MSSStyle002 2" xfId="296"/>
    <cellStyle name="MSSStyle003" xfId="38"/>
    <cellStyle name="MSSStyle004" xfId="39"/>
    <cellStyle name="MSSStyle005" xfId="40"/>
    <cellStyle name="MSSStyle006" xfId="41"/>
    <cellStyle name="MSSStyle007" xfId="42"/>
    <cellStyle name="MSSStyle008" xfId="43"/>
    <cellStyle name="MSSStyle009" xfId="44"/>
    <cellStyle name="MSSStyle010" xfId="45"/>
    <cellStyle name="MSSStyle011" xfId="46"/>
    <cellStyle name="MSSStyle012" xfId="47"/>
    <cellStyle name="MSSStyle013" xfId="48"/>
    <cellStyle name="MSSStyle014" xfId="49"/>
    <cellStyle name="MSSStyle015" xfId="50"/>
    <cellStyle name="MSSStyle016" xfId="51"/>
    <cellStyle name="MSSStyle017" xfId="52"/>
    <cellStyle name="MSSStyle018" xfId="53"/>
    <cellStyle name="MSSStyle019" xfId="54"/>
    <cellStyle name="MSSStyle020" xfId="55"/>
    <cellStyle name="MSSStyle021" xfId="56"/>
    <cellStyle name="MSSStyle022" xfId="57"/>
    <cellStyle name="MSSStyle023" xfId="58"/>
    <cellStyle name="MSSStyle024" xfId="59"/>
    <cellStyle name="MSSStyle025" xfId="60"/>
    <cellStyle name="MSSStyle026" xfId="61"/>
    <cellStyle name="MSSStyle027" xfId="62"/>
    <cellStyle name="MSSStyle028" xfId="63"/>
    <cellStyle name="MSSStyle029" xfId="64"/>
    <cellStyle name="MSSStyle030" xfId="65"/>
    <cellStyle name="MSSStyle031" xfId="66"/>
    <cellStyle name="MSSStyle032" xfId="67"/>
    <cellStyle name="MSSStyle033" xfId="68"/>
    <cellStyle name="MSSStyle034" xfId="69"/>
    <cellStyle name="MSSStyle035" xfId="70"/>
    <cellStyle name="MSSStyle036" xfId="71"/>
    <cellStyle name="MSSStyle037" xfId="72"/>
    <cellStyle name="MSSStyle038" xfId="73"/>
    <cellStyle name="MSSStyle039" xfId="74"/>
    <cellStyle name="MSSStyle040" xfId="75"/>
    <cellStyle name="MSSStyle041" xfId="76"/>
    <cellStyle name="MSSStyle042" xfId="77"/>
    <cellStyle name="MSSStyle043" xfId="78"/>
    <cellStyle name="MSSStyle044" xfId="79"/>
    <cellStyle name="MSSStyle045" xfId="80"/>
    <cellStyle name="MSSStyle046" xfId="81"/>
    <cellStyle name="MSSStyle047" xfId="82"/>
    <cellStyle name="MSSStyle048" xfId="83"/>
    <cellStyle name="MSSStyle049" xfId="84"/>
    <cellStyle name="MSSStyle050" xfId="85"/>
    <cellStyle name="MSSStyle051" xfId="86"/>
    <cellStyle name="MSSStyle052" xfId="87"/>
    <cellStyle name="MSSStyle053" xfId="88"/>
    <cellStyle name="MSSStyle054" xfId="89"/>
    <cellStyle name="MSSStyle055" xfId="90"/>
    <cellStyle name="MSSStyle056" xfId="91"/>
    <cellStyle name="MSSStyle057" xfId="92"/>
    <cellStyle name="MSSStyle058" xfId="93"/>
    <cellStyle name="MSSStyle059" xfId="94"/>
    <cellStyle name="MSSStyle060" xfId="95"/>
    <cellStyle name="MSSStyle061" xfId="96"/>
    <cellStyle name="MSSStyle062" xfId="97"/>
    <cellStyle name="MSSStyle063" xfId="98"/>
    <cellStyle name="MSSStyle064" xfId="99"/>
    <cellStyle name="MSSStyle065" xfId="100"/>
    <cellStyle name="MSSStyle066" xfId="101"/>
    <cellStyle name="MSSStyle067" xfId="102"/>
    <cellStyle name="MSSStyle068" xfId="103"/>
    <cellStyle name="MSSStyle069" xfId="104"/>
    <cellStyle name="MSSStyle070" xfId="105"/>
    <cellStyle name="MSSStyle071" xfId="106"/>
    <cellStyle name="MSSStyle072" xfId="107"/>
    <cellStyle name="MSSStyle073" xfId="108"/>
    <cellStyle name="MSSStyle074" xfId="109"/>
    <cellStyle name="MSSStyle075" xfId="110"/>
    <cellStyle name="MSSStyle076" xfId="111"/>
    <cellStyle name="MSSStyle077" xfId="112"/>
    <cellStyle name="MSSStyle078" xfId="113"/>
    <cellStyle name="MSSStyle079" xfId="114"/>
    <cellStyle name="MSSStyle080" xfId="115"/>
    <cellStyle name="MSSStyle081" xfId="116"/>
    <cellStyle name="MSSStyle082" xfId="117"/>
    <cellStyle name="MSSStyle083" xfId="118"/>
    <cellStyle name="MSSStyle084" xfId="119"/>
    <cellStyle name="MSSStyle085" xfId="120"/>
    <cellStyle name="MSSStyle086" xfId="121"/>
    <cellStyle name="MSSStyle087" xfId="122"/>
    <cellStyle name="MSSStyle088" xfId="123"/>
    <cellStyle name="MSSStyle089" xfId="124"/>
    <cellStyle name="MSSStyle090" xfId="125"/>
    <cellStyle name="MSSStyle091" xfId="126"/>
    <cellStyle name="MSSStyle092" xfId="127"/>
    <cellStyle name="MSSStyle093" xfId="128"/>
    <cellStyle name="MSSStyle094" xfId="129"/>
    <cellStyle name="MSSStyle095" xfId="130"/>
    <cellStyle name="MSSStyle096" xfId="131"/>
    <cellStyle name="MSSStyle097" xfId="132"/>
    <cellStyle name="MSSStyle098" xfId="133"/>
    <cellStyle name="MSSStyle099" xfId="134"/>
    <cellStyle name="MSSStyle100" xfId="135"/>
    <cellStyle name="MSSStyle101" xfId="136"/>
    <cellStyle name="MSSStyle102" xfId="137"/>
    <cellStyle name="MSSStyle103" xfId="138"/>
    <cellStyle name="MSSStyle104" xfId="139"/>
    <cellStyle name="MSSStyle105" xfId="140"/>
    <cellStyle name="MSSStyle106" xfId="141"/>
    <cellStyle name="MSSStyle107" xfId="142"/>
    <cellStyle name="MSSStyle108" xfId="143"/>
    <cellStyle name="MSSStyle109" xfId="144"/>
    <cellStyle name="MSSStyle110" xfId="145"/>
    <cellStyle name="MSSStyle111" xfId="146"/>
    <cellStyle name="MSSStyle112" xfId="147"/>
    <cellStyle name="MSSStyle113" xfId="148"/>
    <cellStyle name="MSSStyle114" xfId="149"/>
    <cellStyle name="MSSStyle115" xfId="150"/>
    <cellStyle name="MSSStyle116" xfId="151"/>
    <cellStyle name="MSSStyle117" xfId="152"/>
    <cellStyle name="MSSStyle118" xfId="153"/>
    <cellStyle name="MSSStyle119" xfId="154"/>
    <cellStyle name="MSSStyle120" xfId="155"/>
    <cellStyle name="MSSStyle121" xfId="156"/>
    <cellStyle name="MSSStyle122" xfId="157"/>
    <cellStyle name="MSSStyle123" xfId="158"/>
    <cellStyle name="MSSStyle124" xfId="159"/>
    <cellStyle name="MSSStyle125" xfId="160"/>
    <cellStyle name="MSSStyle126" xfId="161"/>
    <cellStyle name="MSSStyle127" xfId="162"/>
    <cellStyle name="MSSStyle128" xfId="163"/>
    <cellStyle name="MSSStyle129" xfId="164"/>
    <cellStyle name="MSSStyle130" xfId="165"/>
    <cellStyle name="MSSStyle131" xfId="166"/>
    <cellStyle name="MSSStyle132" xfId="167"/>
    <cellStyle name="MSSStyle133" xfId="168"/>
    <cellStyle name="MSSStyle134" xfId="169"/>
    <cellStyle name="MSSStyle135" xfId="170"/>
    <cellStyle name="MSSStyle136" xfId="171"/>
    <cellStyle name="MSSStyle137" xfId="172"/>
    <cellStyle name="MSSStyle138" xfId="173"/>
    <cellStyle name="MSSStyle139" xfId="174"/>
    <cellStyle name="MSSStyle140" xfId="175"/>
    <cellStyle name="MSSStyle141" xfId="176"/>
    <cellStyle name="MSSStyle142" xfId="177"/>
    <cellStyle name="MSSStyle143" xfId="178"/>
    <cellStyle name="MSSStyle144" xfId="179"/>
    <cellStyle name="MSSStyle145" xfId="180"/>
    <cellStyle name="MSSStyle146" xfId="181"/>
    <cellStyle name="MSSStyle147" xfId="182"/>
    <cellStyle name="MSSStyle148" xfId="183"/>
    <cellStyle name="MSSStyle149" xfId="184"/>
    <cellStyle name="MSSStyle150" xfId="185"/>
    <cellStyle name="MSSStyle151" xfId="186"/>
    <cellStyle name="MSSStyle152" xfId="187"/>
    <cellStyle name="MSSStyle153" xfId="188"/>
    <cellStyle name="MSSStyle154" xfId="189"/>
    <cellStyle name="MSSStyle155" xfId="190"/>
    <cellStyle name="MSSStyle156" xfId="191"/>
    <cellStyle name="MSSStyle157" xfId="192"/>
    <cellStyle name="MSSStyle158" xfId="193"/>
    <cellStyle name="MSSStyle159" xfId="194"/>
    <cellStyle name="MSSStyle160" xfId="195"/>
    <cellStyle name="MSSStyle161" xfId="196"/>
    <cellStyle name="MSSStyle162" xfId="197"/>
    <cellStyle name="MSSStyle163" xfId="198"/>
    <cellStyle name="MSSStyle164" xfId="199"/>
    <cellStyle name="MSSStyle165" xfId="200"/>
    <cellStyle name="MSSStyle166" xfId="201"/>
    <cellStyle name="MSSStyle167" xfId="202"/>
    <cellStyle name="MSSStyle168" xfId="203"/>
    <cellStyle name="MSSStyle169" xfId="204"/>
    <cellStyle name="MSSStyle170" xfId="205"/>
    <cellStyle name="MSSStyle171" xfId="206"/>
    <cellStyle name="MSSStyle172" xfId="207"/>
    <cellStyle name="MSSStyle173" xfId="208"/>
    <cellStyle name="MSSStyle174" xfId="209"/>
    <cellStyle name="MSSStyle175" xfId="210"/>
    <cellStyle name="MSSStyle176" xfId="211"/>
    <cellStyle name="MSSStyle177" xfId="212"/>
    <cellStyle name="MSSStyle178" xfId="213"/>
    <cellStyle name="MSSStyle179" xfId="214"/>
    <cellStyle name="MSSStyle180" xfId="215"/>
    <cellStyle name="MSSStyle181" xfId="216"/>
    <cellStyle name="MSSStyle182" xfId="217"/>
    <cellStyle name="MSSStyle183" xfId="218"/>
    <cellStyle name="MSSStyle184" xfId="219"/>
    <cellStyle name="MSSStyle185" xfId="220"/>
    <cellStyle name="MSSStyle186" xfId="221"/>
    <cellStyle name="MSSStyle187" xfId="222"/>
    <cellStyle name="MSSStyle188" xfId="223"/>
    <cellStyle name="MSSStyle189" xfId="224"/>
    <cellStyle name="MSSStyle190" xfId="225"/>
    <cellStyle name="MSSStyle191" xfId="226"/>
    <cellStyle name="MSSStyle192" xfId="227"/>
    <cellStyle name="MSSStyle193" xfId="228"/>
    <cellStyle name="MSSStyle194" xfId="229"/>
    <cellStyle name="MSSStyle195" xfId="230"/>
    <cellStyle name="MSSStyle196" xfId="231"/>
    <cellStyle name="MSSStyle197" xfId="232"/>
    <cellStyle name="MSSStyle198" xfId="233"/>
    <cellStyle name="MSSStyle199" xfId="234"/>
    <cellStyle name="MSSStyle200" xfId="235"/>
    <cellStyle name="MSSStyle201" xfId="236"/>
    <cellStyle name="MSSStyle202" xfId="237"/>
    <cellStyle name="MSSStyle203" xfId="238"/>
    <cellStyle name="MSSStyle204" xfId="239"/>
    <cellStyle name="MSSStyle205" xfId="240"/>
    <cellStyle name="MSSStyle206" xfId="241"/>
    <cellStyle name="MSSStyle207" xfId="242"/>
    <cellStyle name="MSSStyle208" xfId="243"/>
    <cellStyle name="MSSStyle209" xfId="244"/>
    <cellStyle name="MSSStyle210" xfId="245"/>
    <cellStyle name="MSSStyle211" xfId="246"/>
    <cellStyle name="MSSStyle212" xfId="247"/>
    <cellStyle name="MSSStyle213" xfId="248"/>
    <cellStyle name="MSSStyle214" xfId="249"/>
    <cellStyle name="MSSStyle215" xfId="250"/>
    <cellStyle name="MSSStyle216" xfId="251"/>
    <cellStyle name="MSSStyle217" xfId="252"/>
    <cellStyle name="MSSStyle218" xfId="253"/>
    <cellStyle name="MSSStyle219" xfId="254"/>
    <cellStyle name="MSSStyle220" xfId="255"/>
    <cellStyle name="MSSStyle221" xfId="256"/>
    <cellStyle name="MSSStyle222" xfId="257"/>
    <cellStyle name="MSSStyle223" xfId="258"/>
    <cellStyle name="MSSStyle224" xfId="259"/>
    <cellStyle name="MSSStyle225" xfId="260"/>
    <cellStyle name="MSSStyle226" xfId="261"/>
    <cellStyle name="MSSStyle227" xfId="262"/>
    <cellStyle name="MSSStyle228" xfId="263"/>
    <cellStyle name="MSSStyle229" xfId="264"/>
    <cellStyle name="MSSStyle230" xfId="265"/>
    <cellStyle name="MSSStyle231" xfId="266"/>
    <cellStyle name="MSSStyle232" xfId="267"/>
    <cellStyle name="MSSStyle233" xfId="268"/>
    <cellStyle name="MSSStyle234" xfId="269"/>
    <cellStyle name="MSSStyle235" xfId="270"/>
    <cellStyle name="MSSStyle236" xfId="271"/>
    <cellStyle name="MSSStyle237" xfId="272"/>
    <cellStyle name="MSSStyle238" xfId="273"/>
    <cellStyle name="MSSStyle239" xfId="274"/>
    <cellStyle name="MSSStyle240" xfId="275"/>
    <cellStyle name="MSSStyle241" xfId="276"/>
    <cellStyle name="MSSStyle242" xfId="277"/>
    <cellStyle name="MSSStyle243" xfId="278"/>
    <cellStyle name="MSSStyle244" xfId="279"/>
    <cellStyle name="MSSStyle245" xfId="280"/>
    <cellStyle name="MSSStyle246" xfId="281"/>
    <cellStyle name="MSSStyle247" xfId="282"/>
    <cellStyle name="MSSStyle248" xfId="283"/>
    <cellStyle name="MSSStyle249" xfId="284"/>
    <cellStyle name="MSSStyle250" xfId="285"/>
    <cellStyle name="MSSStyle251" xfId="286"/>
    <cellStyle name="MSSStyle252" xfId="287"/>
    <cellStyle name="Neutral" xfId="288" builtinId="28" customBuiltin="1"/>
    <cellStyle name="Normal" xfId="0" builtinId="0"/>
    <cellStyle name="Normal 2" xfId="295"/>
    <cellStyle name="Note" xfId="289" builtinId="10" customBuiltin="1"/>
    <cellStyle name="Output" xfId="290" builtinId="21" customBuiltin="1"/>
    <cellStyle name="Title" xfId="291" builtinId="15" customBuiltin="1"/>
    <cellStyle name="Total" xfId="292" builtinId="25" customBuiltin="1"/>
    <cellStyle name="Warning Text" xfId="29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Firm Value by Investment Round</a:t>
            </a:r>
          </a:p>
        </c:rich>
      </c:tx>
      <c:layout>
        <c:manualLayout>
          <c:xMode val="edge"/>
          <c:yMode val="edge"/>
          <c:x val="0.33870967741935482"/>
          <c:y val="2.3880597014925373E-2"/>
        </c:manualLayout>
      </c:layout>
      <c:overlay val="0"/>
      <c:spPr>
        <a:noFill/>
        <a:ln w="25400">
          <a:noFill/>
        </a:ln>
      </c:spPr>
    </c:title>
    <c:autoTitleDeleted val="0"/>
    <c:plotArea>
      <c:layout>
        <c:manualLayout>
          <c:layoutTarget val="inner"/>
          <c:xMode val="edge"/>
          <c:yMode val="edge"/>
          <c:x val="0.18064516129032257"/>
          <c:y val="0.1373134328358209"/>
          <c:w val="0.7924731182795699"/>
          <c:h val="0.65970149253731347"/>
        </c:manualLayout>
      </c:layout>
      <c:barChart>
        <c:barDir val="col"/>
        <c:grouping val="clustered"/>
        <c:varyColors val="0"/>
        <c:ser>
          <c:idx val="1"/>
          <c:order val="0"/>
          <c:tx>
            <c:v>Starting Value</c:v>
          </c:tx>
          <c:spPr>
            <a:solidFill>
              <a:srgbClr val="C0504D"/>
            </a:solidFill>
            <a:ln w="25400">
              <a:noFill/>
            </a:ln>
          </c:spPr>
          <c:invertIfNegative val="0"/>
          <c:val>
            <c:numRef>
              <c:f>[0]!Firm_Value_Start</c:f>
              <c:numCache>
                <c:formatCode>"$"#,##0_);[Red]\("$"#,##0\)</c:formatCode>
                <c:ptCount val="3"/>
                <c:pt idx="0">
                  <c:v>1000000</c:v>
                </c:pt>
                <c:pt idx="1">
                  <c:v>1000000</c:v>
                </c:pt>
                <c:pt idx="2">
                  <c:v>1000000</c:v>
                </c:pt>
              </c:numCache>
            </c:numRef>
          </c:val>
        </c:ser>
        <c:ser>
          <c:idx val="0"/>
          <c:order val="1"/>
          <c:tx>
            <c:v>Ending Value</c:v>
          </c:tx>
          <c:spPr>
            <a:solidFill>
              <a:srgbClr val="00B0F0"/>
            </a:solidFill>
            <a:ln w="25400">
              <a:noFill/>
            </a:ln>
          </c:spPr>
          <c:invertIfNegative val="0"/>
          <c:cat>
            <c:strRef>
              <c:f>[0]!Rounds_plt</c:f>
              <c:strCache>
                <c:ptCount val="3"/>
                <c:pt idx="0">
                  <c:v>Seed</c:v>
                </c:pt>
                <c:pt idx="1">
                  <c:v>Round A</c:v>
                </c:pt>
                <c:pt idx="2">
                  <c:v>Exit</c:v>
                </c:pt>
              </c:strCache>
            </c:strRef>
          </c:cat>
          <c:val>
            <c:numRef>
              <c:f>[0]!Firm_Value_End</c:f>
              <c:numCache>
                <c:formatCode>"$"#,##0_);[Red]\("$"#,##0\)</c:formatCode>
                <c:ptCount val="3"/>
                <c:pt idx="0">
                  <c:v>1000001</c:v>
                </c:pt>
                <c:pt idx="1">
                  <c:v>1000000</c:v>
                </c:pt>
                <c:pt idx="2">
                  <c:v>1000000</c:v>
                </c:pt>
              </c:numCache>
            </c:numRef>
          </c:val>
        </c:ser>
        <c:dLbls>
          <c:showLegendKey val="0"/>
          <c:showVal val="0"/>
          <c:showCatName val="0"/>
          <c:showSerName val="0"/>
          <c:showPercent val="0"/>
          <c:showBubbleSize val="0"/>
        </c:dLbls>
        <c:gapWidth val="150"/>
        <c:axId val="529947656"/>
        <c:axId val="529948048"/>
      </c:barChart>
      <c:catAx>
        <c:axId val="529947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48048"/>
        <c:crosses val="autoZero"/>
        <c:auto val="1"/>
        <c:lblAlgn val="ctr"/>
        <c:lblOffset val="100"/>
        <c:tickLblSkip val="1"/>
        <c:tickMarkSkip val="1"/>
        <c:noMultiLvlLbl val="0"/>
      </c:catAx>
      <c:valAx>
        <c:axId val="529948048"/>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47656"/>
        <c:crossesAt val="1"/>
        <c:crossBetween val="between"/>
      </c:valAx>
      <c:spPr>
        <a:solidFill>
          <a:srgbClr val="FFFFFF"/>
        </a:solidFill>
        <a:ln w="25400">
          <a:noFill/>
        </a:ln>
      </c:spPr>
    </c:plotArea>
    <c:legend>
      <c:legendPos val="r"/>
      <c:layout>
        <c:manualLayout>
          <c:xMode val="edge"/>
          <c:yMode val="edge"/>
          <c:x val="0.40860215053763443"/>
          <c:y val="0.89552238805970152"/>
          <c:w val="0.34301075268817205"/>
          <c:h val="7.164179104477612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3" l="0.25" r="0.25" t="0.3" header="0.2" footer="0.2"/>
    <c:pageSetup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Net Investment at End of Round</a:t>
            </a:r>
          </a:p>
        </c:rich>
      </c:tx>
      <c:layout>
        <c:manualLayout>
          <c:xMode val="edge"/>
          <c:yMode val="edge"/>
          <c:x val="0.3301075268817204"/>
          <c:y val="2.3880597014925373E-2"/>
        </c:manualLayout>
      </c:layout>
      <c:overlay val="0"/>
      <c:spPr>
        <a:noFill/>
        <a:ln w="25400">
          <a:noFill/>
        </a:ln>
      </c:spPr>
    </c:title>
    <c:autoTitleDeleted val="0"/>
    <c:plotArea>
      <c:layout>
        <c:manualLayout>
          <c:layoutTarget val="inner"/>
          <c:xMode val="edge"/>
          <c:yMode val="edge"/>
          <c:x val="4.6236559139784944E-2"/>
          <c:y val="0.14029850746268657"/>
          <c:w val="0.8720430107526882"/>
          <c:h val="0.72238805970149256"/>
        </c:manualLayout>
      </c:layout>
      <c:barChart>
        <c:barDir val="col"/>
        <c:grouping val="clustered"/>
        <c:varyColors val="0"/>
        <c:ser>
          <c:idx val="0"/>
          <c:order val="0"/>
          <c:tx>
            <c:v>Net Investment End</c:v>
          </c:tx>
          <c:spPr>
            <a:solidFill>
              <a:srgbClr val="00B0F0"/>
            </a:solidFill>
            <a:ln w="25400">
              <a:noFill/>
            </a:ln>
          </c:spPr>
          <c:invertIfNegative val="0"/>
          <c:cat>
            <c:strRef>
              <c:f>[0]!Rounds_plt</c:f>
              <c:strCache>
                <c:ptCount val="3"/>
                <c:pt idx="0">
                  <c:v>Seed</c:v>
                </c:pt>
                <c:pt idx="1">
                  <c:v>Round A</c:v>
                </c:pt>
                <c:pt idx="2">
                  <c:v>Exit</c:v>
                </c:pt>
              </c:strCache>
            </c:strRef>
          </c:cat>
          <c:val>
            <c:numRef>
              <c:f>[0]!Investment_Net_End_plt</c:f>
              <c:numCache>
                <c:formatCode>"$"#,##0_);[Red]\("$"#,##0\)</c:formatCode>
                <c:ptCount val="3"/>
                <c:pt idx="0">
                  <c:v>1</c:v>
                </c:pt>
                <c:pt idx="1">
                  <c:v>1</c:v>
                </c:pt>
                <c:pt idx="2">
                  <c:v>1</c:v>
                </c:pt>
              </c:numCache>
            </c:numRef>
          </c:val>
        </c:ser>
        <c:dLbls>
          <c:showLegendKey val="0"/>
          <c:showVal val="0"/>
          <c:showCatName val="0"/>
          <c:showSerName val="0"/>
          <c:showPercent val="0"/>
          <c:showBubbleSize val="0"/>
        </c:dLbls>
        <c:gapWidth val="150"/>
        <c:axId val="529952360"/>
        <c:axId val="529952752"/>
      </c:barChart>
      <c:catAx>
        <c:axId val="5299523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2752"/>
        <c:crosses val="autoZero"/>
        <c:auto val="1"/>
        <c:lblAlgn val="ctr"/>
        <c:lblOffset val="100"/>
        <c:tickLblSkip val="1"/>
        <c:tickMarkSkip val="1"/>
        <c:noMultiLvlLbl val="0"/>
      </c:catAx>
      <c:valAx>
        <c:axId val="529952752"/>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2360"/>
        <c:crossesAt val="1"/>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Investment Held at End of Rounds byType of Security</a:t>
            </a:r>
          </a:p>
        </c:rich>
      </c:tx>
      <c:layout>
        <c:manualLayout>
          <c:xMode val="edge"/>
          <c:yMode val="edge"/>
          <c:x val="0.25405405405405407"/>
          <c:y val="2.0895522388059702E-2"/>
        </c:manualLayout>
      </c:layout>
      <c:overlay val="0"/>
      <c:spPr>
        <a:solidFill>
          <a:srgbClr val="FFFFFF"/>
        </a:solidFill>
        <a:ln w="25400">
          <a:noFill/>
        </a:ln>
      </c:spPr>
    </c:title>
    <c:autoTitleDeleted val="0"/>
    <c:plotArea>
      <c:layout>
        <c:manualLayout>
          <c:layoutTarget val="inner"/>
          <c:xMode val="edge"/>
          <c:yMode val="edge"/>
          <c:x val="4.7567567567567567E-2"/>
          <c:y val="0.17313432835820897"/>
          <c:w val="0.87891891891891893"/>
          <c:h val="0.56119402985074629"/>
        </c:manualLayout>
      </c:layout>
      <c:barChart>
        <c:barDir val="col"/>
        <c:grouping val="clustered"/>
        <c:varyColors val="0"/>
        <c:ser>
          <c:idx val="0"/>
          <c:order val="0"/>
          <c:tx>
            <c:v>Conv Notes</c:v>
          </c:tx>
          <c:spPr>
            <a:solidFill>
              <a:srgbClr val="4F81BD"/>
            </a:solidFill>
            <a:ln w="25400">
              <a:noFill/>
            </a:ln>
          </c:spPr>
          <c:invertIfNegative val="0"/>
          <c:cat>
            <c:strRef>
              <c:f>[0]!Rounds_plt</c:f>
              <c:strCache>
                <c:ptCount val="3"/>
                <c:pt idx="0">
                  <c:v>Seed</c:v>
                </c:pt>
                <c:pt idx="1">
                  <c:v>Round A</c:v>
                </c:pt>
                <c:pt idx="2">
                  <c:v>Exit</c:v>
                </c:pt>
              </c:strCache>
            </c:strRef>
          </c:cat>
          <c:val>
            <c:numRef>
              <c:f>[0]!Invest_End_Conv_plt</c:f>
              <c:numCache>
                <c:formatCode>"$"#,##0_);[Red]\("$"#,##0\)</c:formatCode>
                <c:ptCount val="3"/>
                <c:pt idx="0">
                  <c:v>0</c:v>
                </c:pt>
                <c:pt idx="1">
                  <c:v>0</c:v>
                </c:pt>
                <c:pt idx="2">
                  <c:v>0</c:v>
                </c:pt>
              </c:numCache>
            </c:numRef>
          </c:val>
        </c:ser>
        <c:ser>
          <c:idx val="1"/>
          <c:order val="1"/>
          <c:tx>
            <c:v>Preferred Stock</c:v>
          </c:tx>
          <c:spPr>
            <a:solidFill>
              <a:srgbClr val="C0504D"/>
            </a:solidFill>
            <a:ln w="25400">
              <a:noFill/>
            </a:ln>
          </c:spPr>
          <c:invertIfNegative val="0"/>
          <c:val>
            <c:numRef>
              <c:f>[0]!Invest_End_Preferred_plt</c:f>
              <c:numCache>
                <c:formatCode>"$"#,##0_);[Red]\("$"#,##0\)</c:formatCode>
                <c:ptCount val="3"/>
                <c:pt idx="0">
                  <c:v>0</c:v>
                </c:pt>
                <c:pt idx="1">
                  <c:v>0</c:v>
                </c:pt>
                <c:pt idx="2">
                  <c:v>0</c:v>
                </c:pt>
              </c:numCache>
            </c:numRef>
          </c:val>
        </c:ser>
        <c:ser>
          <c:idx val="2"/>
          <c:order val="2"/>
          <c:tx>
            <c:v>Common Stock</c:v>
          </c:tx>
          <c:spPr>
            <a:solidFill>
              <a:srgbClr val="9BBB59"/>
            </a:solidFill>
            <a:ln w="25400">
              <a:noFill/>
            </a:ln>
          </c:spPr>
          <c:invertIfNegative val="0"/>
          <c:val>
            <c:numRef>
              <c:f>[0]!Invest_End_Common_plt</c:f>
              <c:numCache>
                <c:formatCode>"$"#,##0_);[Red]\("$"#,##0\)</c:formatCode>
                <c:ptCount val="3"/>
                <c:pt idx="0">
                  <c:v>1</c:v>
                </c:pt>
                <c:pt idx="1">
                  <c:v>1</c:v>
                </c:pt>
                <c:pt idx="2">
                  <c:v>1</c:v>
                </c:pt>
              </c:numCache>
            </c:numRef>
          </c:val>
        </c:ser>
        <c:ser>
          <c:idx val="3"/>
          <c:order val="3"/>
          <c:tx>
            <c:v>Warrants</c:v>
          </c:tx>
          <c:spPr>
            <a:solidFill>
              <a:srgbClr val="8064A2"/>
            </a:solidFill>
            <a:ln w="25400">
              <a:noFill/>
            </a:ln>
          </c:spPr>
          <c:invertIfNegative val="0"/>
          <c:val>
            <c:numRef>
              <c:f>[0]!Invest_End_War_plt</c:f>
              <c:numCache>
                <c:formatCode>"$"#,##0_);[Red]\("$"#,##0\)</c:formatCode>
                <c:ptCount val="3"/>
                <c:pt idx="0">
                  <c:v>0</c:v>
                </c:pt>
                <c:pt idx="1">
                  <c:v>0</c:v>
                </c:pt>
                <c:pt idx="2">
                  <c:v>0</c:v>
                </c:pt>
              </c:numCache>
            </c:numRef>
          </c:val>
        </c:ser>
        <c:ser>
          <c:idx val="4"/>
          <c:order val="4"/>
          <c:tx>
            <c:v>Options</c:v>
          </c:tx>
          <c:spPr>
            <a:solidFill>
              <a:srgbClr val="4BACC6"/>
            </a:solidFill>
            <a:ln w="25400">
              <a:noFill/>
            </a:ln>
          </c:spPr>
          <c:invertIfNegative val="0"/>
          <c:val>
            <c:numRef>
              <c:f>[0]!Invest_End_Opt_plt</c:f>
              <c:numCache>
                <c:formatCode>"$"#,##0_);[Red]\("$"#,##0\)</c:formatCode>
                <c:ptCount val="3"/>
                <c:pt idx="0">
                  <c:v>0</c:v>
                </c:pt>
                <c:pt idx="1">
                  <c:v>0</c:v>
                </c:pt>
                <c:pt idx="2">
                  <c:v>0</c:v>
                </c:pt>
              </c:numCache>
            </c:numRef>
          </c:val>
        </c:ser>
        <c:dLbls>
          <c:showLegendKey val="0"/>
          <c:showVal val="0"/>
          <c:showCatName val="0"/>
          <c:showSerName val="0"/>
          <c:showPercent val="0"/>
          <c:showBubbleSize val="0"/>
        </c:dLbls>
        <c:gapWidth val="150"/>
        <c:axId val="529948832"/>
        <c:axId val="529955104"/>
      </c:barChart>
      <c:catAx>
        <c:axId val="5299488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5104"/>
        <c:crosses val="autoZero"/>
        <c:auto val="1"/>
        <c:lblAlgn val="ctr"/>
        <c:lblOffset val="100"/>
        <c:tickLblSkip val="1"/>
        <c:tickMarkSkip val="1"/>
        <c:noMultiLvlLbl val="0"/>
      </c:catAx>
      <c:valAx>
        <c:axId val="529955104"/>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48832"/>
        <c:crossesAt val="1"/>
        <c:crossBetween val="between"/>
      </c:valAx>
      <c:spPr>
        <a:solidFill>
          <a:srgbClr val="FFFFFF"/>
        </a:solidFill>
        <a:ln w="25400">
          <a:noFill/>
        </a:ln>
      </c:spPr>
    </c:plotArea>
    <c:legend>
      <c:legendPos val="r"/>
      <c:layout>
        <c:manualLayout>
          <c:xMode val="edge"/>
          <c:yMode val="edge"/>
          <c:x val="0.20108108108108108"/>
          <c:y val="0.89850746268656712"/>
          <c:w val="0.59783783783783784"/>
          <c:h val="6.56716417910447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44" l="0.7000000000000004" r="0.7000000000000004" t="0.75000000000000044" header="0.30000000000000021" footer="0.30000000000000021"/>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Cumulative Investment at End of Rounds, by Original Type of Security</a:t>
            </a:r>
          </a:p>
        </c:rich>
      </c:tx>
      <c:layout>
        <c:manualLayout>
          <c:xMode val="edge"/>
          <c:yMode val="edge"/>
          <c:x val="0.2"/>
          <c:y val="2.6865671641791045E-2"/>
        </c:manualLayout>
      </c:layout>
      <c:overlay val="0"/>
      <c:spPr>
        <a:solidFill>
          <a:srgbClr val="FFFFFF"/>
        </a:solidFill>
        <a:ln w="25400">
          <a:noFill/>
        </a:ln>
      </c:spPr>
    </c:title>
    <c:autoTitleDeleted val="0"/>
    <c:plotArea>
      <c:layout>
        <c:manualLayout>
          <c:layoutTarget val="inner"/>
          <c:xMode val="edge"/>
          <c:yMode val="edge"/>
          <c:x val="0.13548387096774195"/>
          <c:y val="0.13432835820895522"/>
          <c:w val="0.78817204301075272"/>
          <c:h val="0.64477611940298507"/>
        </c:manualLayout>
      </c:layout>
      <c:barChart>
        <c:barDir val="col"/>
        <c:grouping val="clustered"/>
        <c:varyColors val="0"/>
        <c:ser>
          <c:idx val="0"/>
          <c:order val="0"/>
          <c:tx>
            <c:v>Conv Notes</c:v>
          </c:tx>
          <c:spPr>
            <a:solidFill>
              <a:srgbClr val="00B0F0"/>
            </a:solidFill>
            <a:ln w="25400">
              <a:noFill/>
            </a:ln>
          </c:spPr>
          <c:invertIfNegative val="0"/>
          <c:cat>
            <c:strRef>
              <c:f>[0]!Rounds_plt</c:f>
              <c:strCache>
                <c:ptCount val="3"/>
                <c:pt idx="0">
                  <c:v>Seed</c:v>
                </c:pt>
                <c:pt idx="1">
                  <c:v>Round A</c:v>
                </c:pt>
                <c:pt idx="2">
                  <c:v>Exit</c:v>
                </c:pt>
              </c:strCache>
            </c:strRef>
          </c:cat>
          <c:val>
            <c:numRef>
              <c:f>[0]!Invest_by_Origin_Conv_plt</c:f>
              <c:numCache>
                <c:formatCode>"$"#,##0_);[Red]\("$"#,##0\)</c:formatCode>
                <c:ptCount val="3"/>
                <c:pt idx="0">
                  <c:v>0</c:v>
                </c:pt>
                <c:pt idx="1">
                  <c:v>0</c:v>
                </c:pt>
                <c:pt idx="2">
                  <c:v>0</c:v>
                </c:pt>
              </c:numCache>
            </c:numRef>
          </c:val>
        </c:ser>
        <c:ser>
          <c:idx val="1"/>
          <c:order val="1"/>
          <c:tx>
            <c:v>Preferred Stock</c:v>
          </c:tx>
          <c:spPr>
            <a:solidFill>
              <a:srgbClr val="C0504D"/>
            </a:solidFill>
            <a:ln w="25400">
              <a:noFill/>
            </a:ln>
          </c:spPr>
          <c:invertIfNegative val="0"/>
          <c:val>
            <c:numRef>
              <c:f>[0]!Invest_by_Origin_Preferred_plt</c:f>
              <c:numCache>
                <c:formatCode>"$"#,##0_);[Red]\("$"#,##0\)</c:formatCode>
                <c:ptCount val="3"/>
                <c:pt idx="0">
                  <c:v>0</c:v>
                </c:pt>
                <c:pt idx="1">
                  <c:v>0</c:v>
                </c:pt>
                <c:pt idx="2">
                  <c:v>0</c:v>
                </c:pt>
              </c:numCache>
            </c:numRef>
          </c:val>
        </c:ser>
        <c:ser>
          <c:idx val="2"/>
          <c:order val="2"/>
          <c:tx>
            <c:v>Common Stock</c:v>
          </c:tx>
          <c:spPr>
            <a:solidFill>
              <a:srgbClr val="9BBB59"/>
            </a:solidFill>
            <a:ln w="25400">
              <a:noFill/>
            </a:ln>
          </c:spPr>
          <c:invertIfNegative val="0"/>
          <c:val>
            <c:numRef>
              <c:f>[0]!Invest_by_Origin_Common_plt</c:f>
              <c:numCache>
                <c:formatCode>"$"#,##0_);[Red]\("$"#,##0\)</c:formatCode>
                <c:ptCount val="3"/>
                <c:pt idx="0">
                  <c:v>1</c:v>
                </c:pt>
                <c:pt idx="1">
                  <c:v>1</c:v>
                </c:pt>
                <c:pt idx="2">
                  <c:v>1</c:v>
                </c:pt>
              </c:numCache>
            </c:numRef>
          </c:val>
        </c:ser>
        <c:ser>
          <c:idx val="3"/>
          <c:order val="3"/>
          <c:tx>
            <c:v>Warrants</c:v>
          </c:tx>
          <c:spPr>
            <a:solidFill>
              <a:srgbClr val="8064A2"/>
            </a:solidFill>
            <a:ln w="25400">
              <a:noFill/>
            </a:ln>
          </c:spPr>
          <c:invertIfNegative val="0"/>
          <c:val>
            <c:numRef>
              <c:f>[0]!Invest_by_Origin_War_plt</c:f>
              <c:numCache>
                <c:formatCode>"$"#,##0_);[Red]\("$"#,##0\)</c:formatCode>
                <c:ptCount val="3"/>
                <c:pt idx="0">
                  <c:v>0</c:v>
                </c:pt>
                <c:pt idx="1">
                  <c:v>0</c:v>
                </c:pt>
                <c:pt idx="2">
                  <c:v>0</c:v>
                </c:pt>
              </c:numCache>
            </c:numRef>
          </c:val>
        </c:ser>
        <c:ser>
          <c:idx val="4"/>
          <c:order val="4"/>
          <c:tx>
            <c:v>Options</c:v>
          </c:tx>
          <c:spPr>
            <a:solidFill>
              <a:srgbClr val="4BACC6"/>
            </a:solidFill>
            <a:ln w="25400">
              <a:noFill/>
            </a:ln>
          </c:spPr>
          <c:invertIfNegative val="0"/>
          <c:val>
            <c:numRef>
              <c:f>[0]!Invest_by_Origin_Opt_plt</c:f>
              <c:numCache>
                <c:formatCode>"$"#,##0_);[Red]\("$"#,##0\)</c:formatCode>
                <c:ptCount val="3"/>
                <c:pt idx="0">
                  <c:v>0</c:v>
                </c:pt>
                <c:pt idx="1">
                  <c:v>0</c:v>
                </c:pt>
                <c:pt idx="2">
                  <c:v>0</c:v>
                </c:pt>
              </c:numCache>
            </c:numRef>
          </c:val>
        </c:ser>
        <c:dLbls>
          <c:showLegendKey val="0"/>
          <c:showVal val="0"/>
          <c:showCatName val="0"/>
          <c:showSerName val="0"/>
          <c:showPercent val="0"/>
          <c:showBubbleSize val="0"/>
        </c:dLbls>
        <c:gapWidth val="150"/>
        <c:axId val="529949224"/>
        <c:axId val="529956672"/>
      </c:barChart>
      <c:catAx>
        <c:axId val="529949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6672"/>
        <c:crosses val="autoZero"/>
        <c:auto val="1"/>
        <c:lblAlgn val="ctr"/>
        <c:lblOffset val="100"/>
        <c:tickLblSkip val="1"/>
        <c:tickMarkSkip val="1"/>
        <c:noMultiLvlLbl val="0"/>
      </c:catAx>
      <c:valAx>
        <c:axId val="529956672"/>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49224"/>
        <c:crossesAt val="1"/>
        <c:crossBetween val="between"/>
      </c:valAx>
      <c:spPr>
        <a:solidFill>
          <a:srgbClr val="FFFFFF"/>
        </a:solidFill>
        <a:ln w="25400">
          <a:noFill/>
        </a:ln>
      </c:spPr>
    </c:plotArea>
    <c:legend>
      <c:legendPos val="r"/>
      <c:layout>
        <c:manualLayout>
          <c:xMode val="edge"/>
          <c:yMode val="edge"/>
          <c:x val="0.23440860215053763"/>
          <c:y val="0.89850746268656712"/>
          <c:w val="0.65698924731182795"/>
          <c:h val="6.56716417910447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78" l="0.70000000000000062" r="0.70000000000000062" t="0.75000000000000078"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Final Payout, by Type of Security Held</a:t>
            </a:r>
          </a:p>
        </c:rich>
      </c:tx>
      <c:layout>
        <c:manualLayout>
          <c:xMode val="edge"/>
          <c:yMode val="edge"/>
          <c:x val="0.33870967741935482"/>
          <c:y val="2.3880597014925373E-2"/>
        </c:manualLayout>
      </c:layout>
      <c:overlay val="0"/>
      <c:spPr>
        <a:noFill/>
        <a:ln w="25400">
          <a:noFill/>
        </a:ln>
      </c:spPr>
    </c:title>
    <c:autoTitleDeleted val="0"/>
    <c:plotArea>
      <c:layout>
        <c:manualLayout>
          <c:layoutTarget val="inner"/>
          <c:xMode val="edge"/>
          <c:yMode val="edge"/>
          <c:x val="0.13978494623655913"/>
          <c:y val="0.1373134328358209"/>
          <c:w val="0.83225806451612905"/>
          <c:h val="0.69253731343283587"/>
        </c:manualLayout>
      </c:layout>
      <c:barChart>
        <c:barDir val="col"/>
        <c:grouping val="clustered"/>
        <c:varyColors val="0"/>
        <c:ser>
          <c:idx val="1"/>
          <c:order val="0"/>
          <c:tx>
            <c:v>Payout</c:v>
          </c:tx>
          <c:spPr>
            <a:solidFill>
              <a:srgbClr val="92D050"/>
            </a:solidFill>
            <a:ln w="25400">
              <a:noFill/>
            </a:ln>
          </c:spPr>
          <c:invertIfNegative val="0"/>
          <c:cat>
            <c:strRef>
              <c:f>[0]!Securities_plt</c:f>
              <c:strCache>
                <c:ptCount val="7"/>
                <c:pt idx="0">
                  <c:v>Conv Note, Series B</c:v>
                </c:pt>
                <c:pt idx="1">
                  <c:v>Conv Note, Series A</c:v>
                </c:pt>
                <c:pt idx="2">
                  <c:v>Preferred, Series A</c:v>
                </c:pt>
                <c:pt idx="3">
                  <c:v>Common</c:v>
                </c:pt>
                <c:pt idx="4">
                  <c:v>Warrant</c:v>
                </c:pt>
                <c:pt idx="5">
                  <c:v>Option, Series B</c:v>
                </c:pt>
                <c:pt idx="6">
                  <c:v>Option, Series A</c:v>
                </c:pt>
              </c:strCache>
            </c:strRef>
          </c:cat>
          <c:val>
            <c:numRef>
              <c:f>[0]!Payout_EndLast</c:f>
              <c:numCache>
                <c:formatCode>"$"#,##0_);[Red]\("$"#,##0\)</c:formatCode>
                <c:ptCount val="7"/>
                <c:pt idx="0">
                  <c:v>0</c:v>
                </c:pt>
                <c:pt idx="1">
                  <c:v>0</c:v>
                </c:pt>
                <c:pt idx="2">
                  <c:v>0</c:v>
                </c:pt>
                <c:pt idx="3">
                  <c:v>1000000</c:v>
                </c:pt>
                <c:pt idx="4">
                  <c:v>0</c:v>
                </c:pt>
                <c:pt idx="5">
                  <c:v>0</c:v>
                </c:pt>
                <c:pt idx="6">
                  <c:v>0</c:v>
                </c:pt>
              </c:numCache>
            </c:numRef>
          </c:val>
        </c:ser>
        <c:dLbls>
          <c:showLegendKey val="0"/>
          <c:showVal val="0"/>
          <c:showCatName val="0"/>
          <c:showSerName val="0"/>
          <c:showPercent val="0"/>
          <c:showBubbleSize val="0"/>
        </c:dLbls>
        <c:gapWidth val="150"/>
        <c:axId val="529954320"/>
        <c:axId val="529951184"/>
      </c:barChart>
      <c:catAx>
        <c:axId val="529954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1184"/>
        <c:crosses val="autoZero"/>
        <c:auto val="1"/>
        <c:lblAlgn val="ctr"/>
        <c:lblOffset val="100"/>
        <c:tickLblSkip val="1"/>
        <c:tickMarkSkip val="1"/>
        <c:noMultiLvlLbl val="0"/>
      </c:catAx>
      <c:valAx>
        <c:axId val="529951184"/>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29954320"/>
        <c:crossesAt val="1"/>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Final Payout, by Original Type of Security</a:t>
            </a:r>
          </a:p>
        </c:rich>
      </c:tx>
      <c:layout>
        <c:manualLayout>
          <c:xMode val="edge"/>
          <c:yMode val="edge"/>
          <c:x val="0.34838709677419355"/>
          <c:y val="2.3880597014925373E-2"/>
        </c:manualLayout>
      </c:layout>
      <c:overlay val="0"/>
      <c:spPr>
        <a:noFill/>
        <a:ln w="25400">
          <a:noFill/>
        </a:ln>
      </c:spPr>
    </c:title>
    <c:autoTitleDeleted val="0"/>
    <c:plotArea>
      <c:layout>
        <c:manualLayout>
          <c:layoutTarget val="inner"/>
          <c:xMode val="edge"/>
          <c:yMode val="edge"/>
          <c:x val="0.14086021505376345"/>
          <c:y val="0.1373134328358209"/>
          <c:w val="0.83118279569892473"/>
          <c:h val="0.69552238805970146"/>
        </c:manualLayout>
      </c:layout>
      <c:barChart>
        <c:barDir val="col"/>
        <c:grouping val="clustered"/>
        <c:varyColors val="0"/>
        <c:ser>
          <c:idx val="1"/>
          <c:order val="0"/>
          <c:tx>
            <c:v>Payout</c:v>
          </c:tx>
          <c:spPr>
            <a:solidFill>
              <a:srgbClr val="C0504D"/>
            </a:solidFill>
            <a:ln w="25400">
              <a:noFill/>
            </a:ln>
          </c:spPr>
          <c:invertIfNegative val="0"/>
          <c:cat>
            <c:strRef>
              <c:f>[0]!Securities_plt</c:f>
              <c:strCache>
                <c:ptCount val="7"/>
                <c:pt idx="0">
                  <c:v>Conv Note, Series B</c:v>
                </c:pt>
                <c:pt idx="1">
                  <c:v>Conv Note, Series A</c:v>
                </c:pt>
                <c:pt idx="2">
                  <c:v>Preferred, Series A</c:v>
                </c:pt>
                <c:pt idx="3">
                  <c:v>Common</c:v>
                </c:pt>
                <c:pt idx="4">
                  <c:v>Warrant</c:v>
                </c:pt>
                <c:pt idx="5">
                  <c:v>Option, Series B</c:v>
                </c:pt>
                <c:pt idx="6">
                  <c:v>Option, Series A</c:v>
                </c:pt>
              </c:strCache>
            </c:strRef>
          </c:cat>
          <c:val>
            <c:numRef>
              <c:f>[0]!Payout_by_Origin_Last</c:f>
              <c:numCache>
                <c:formatCode>"$"#,##0_);[Red]\("$"#,##0\)</c:formatCode>
                <c:ptCount val="7"/>
                <c:pt idx="0">
                  <c:v>0</c:v>
                </c:pt>
                <c:pt idx="1">
                  <c:v>0</c:v>
                </c:pt>
                <c:pt idx="2">
                  <c:v>0</c:v>
                </c:pt>
                <c:pt idx="3">
                  <c:v>1000000</c:v>
                </c:pt>
                <c:pt idx="4">
                  <c:v>0</c:v>
                </c:pt>
                <c:pt idx="5">
                  <c:v>0</c:v>
                </c:pt>
                <c:pt idx="6">
                  <c:v>0</c:v>
                </c:pt>
              </c:numCache>
            </c:numRef>
          </c:val>
        </c:ser>
        <c:dLbls>
          <c:showLegendKey val="0"/>
          <c:showVal val="0"/>
          <c:showCatName val="0"/>
          <c:showSerName val="0"/>
          <c:showPercent val="0"/>
          <c:showBubbleSize val="0"/>
        </c:dLbls>
        <c:gapWidth val="150"/>
        <c:axId val="619026056"/>
        <c:axId val="619027232"/>
      </c:barChart>
      <c:catAx>
        <c:axId val="6190260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619027232"/>
        <c:crosses val="autoZero"/>
        <c:auto val="1"/>
        <c:lblAlgn val="ctr"/>
        <c:lblOffset val="100"/>
        <c:tickLblSkip val="1"/>
        <c:tickMarkSkip val="1"/>
        <c:noMultiLvlLbl val="0"/>
      </c:catAx>
      <c:valAx>
        <c:axId val="619027232"/>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619026056"/>
        <c:crossesAt val="1"/>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4381500</xdr:colOff>
      <xdr:row>0</xdr:row>
      <xdr:rowOff>28575</xdr:rowOff>
    </xdr:from>
    <xdr:to>
      <xdr:col>0</xdr:col>
      <xdr:colOff>6543675</xdr:colOff>
      <xdr:row>1</xdr:row>
      <xdr:rowOff>85725</xdr:rowOff>
    </xdr:to>
    <xdr:pic>
      <xdr:nvPicPr>
        <xdr:cNvPr id="2" name="Picture 3" descr="Logo_R_Wide302x30_081224.gif"/>
        <xdr:cNvPicPr>
          <a:picLocks noChangeAspect="1"/>
        </xdr:cNvPicPr>
      </xdr:nvPicPr>
      <xdr:blipFill>
        <a:blip xmlns:r="http://schemas.openxmlformats.org/officeDocument/2006/relationships" r:embed="rId1" cstate="print"/>
        <a:srcRect/>
        <a:stretch>
          <a:fillRect/>
        </a:stretch>
      </xdr:blipFill>
      <xdr:spPr bwMode="auto">
        <a:xfrm>
          <a:off x="4381500" y="28575"/>
          <a:ext cx="2162175" cy="219075"/>
        </a:xfrm>
        <a:prstGeom prst="rect">
          <a:avLst/>
        </a:prstGeom>
        <a:noFill/>
        <a:ln w="9525">
          <a:noFill/>
          <a:miter lim="800000"/>
          <a:headEnd/>
          <a:tailEnd/>
        </a:ln>
      </xdr:spPr>
    </xdr:pic>
    <xdr:clientData/>
  </xdr:twoCellAnchor>
  <xdr:twoCellAnchor>
    <xdr:from>
      <xdr:col>0</xdr:col>
      <xdr:colOff>1743075</xdr:colOff>
      <xdr:row>46</xdr:row>
      <xdr:rowOff>190500</xdr:rowOff>
    </xdr:from>
    <xdr:to>
      <xdr:col>0</xdr:col>
      <xdr:colOff>4953000</xdr:colOff>
      <xdr:row>46</xdr:row>
      <xdr:rowOff>1657350</xdr:rowOff>
    </xdr:to>
    <xdr:pic>
      <xdr:nvPicPr>
        <xdr:cNvPr id="3" name="Picture 2" descr="workflow"/>
        <xdr:cNvPicPr>
          <a:picLocks noChangeAspect="1" noChangeArrowheads="1"/>
        </xdr:cNvPicPr>
      </xdr:nvPicPr>
      <xdr:blipFill>
        <a:blip xmlns:r="http://schemas.openxmlformats.org/officeDocument/2006/relationships" r:embed="rId2"/>
        <a:srcRect/>
        <a:stretch>
          <a:fillRect/>
        </a:stretch>
      </xdr:blipFill>
      <xdr:spPr bwMode="auto">
        <a:xfrm>
          <a:off x="1743075" y="4695825"/>
          <a:ext cx="3209925"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19050</xdr:rowOff>
    </xdr:from>
    <xdr:to>
      <xdr:col>13</xdr:col>
      <xdr:colOff>533400</xdr:colOff>
      <xdr:row>20</xdr:row>
      <xdr:rowOff>142875</xdr:rowOff>
    </xdr:to>
    <xdr:graphicFrame macro="">
      <xdr:nvGraphicFramePr>
        <xdr:cNvPr id="144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22</xdr:row>
      <xdr:rowOff>38100</xdr:rowOff>
    </xdr:from>
    <xdr:to>
      <xdr:col>13</xdr:col>
      <xdr:colOff>485775</xdr:colOff>
      <xdr:row>42</xdr:row>
      <xdr:rowOff>0</xdr:rowOff>
    </xdr:to>
    <xdr:graphicFrame macro="">
      <xdr:nvGraphicFramePr>
        <xdr:cNvPr id="144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65</xdr:row>
      <xdr:rowOff>57150</xdr:rowOff>
    </xdr:from>
    <xdr:to>
      <xdr:col>13</xdr:col>
      <xdr:colOff>476250</xdr:colOff>
      <xdr:row>85</xdr:row>
      <xdr:rowOff>19050</xdr:rowOff>
    </xdr:to>
    <xdr:graphicFrame macro="">
      <xdr:nvGraphicFramePr>
        <xdr:cNvPr id="144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9525</xdr:rowOff>
    </xdr:from>
    <xdr:to>
      <xdr:col>13</xdr:col>
      <xdr:colOff>447675</xdr:colOff>
      <xdr:row>63</xdr:row>
      <xdr:rowOff>133350</xdr:rowOff>
    </xdr:to>
    <xdr:graphicFrame macro="">
      <xdr:nvGraphicFramePr>
        <xdr:cNvPr id="1443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47625</xdr:colOff>
      <xdr:row>22</xdr:row>
      <xdr:rowOff>19050</xdr:rowOff>
    </xdr:from>
    <xdr:to>
      <xdr:col>27</xdr:col>
      <xdr:colOff>495300</xdr:colOff>
      <xdr:row>41</xdr:row>
      <xdr:rowOff>142875</xdr:rowOff>
    </xdr:to>
    <xdr:graphicFrame macro="">
      <xdr:nvGraphicFramePr>
        <xdr:cNvPr id="14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47625</xdr:colOff>
      <xdr:row>1</xdr:row>
      <xdr:rowOff>9525</xdr:rowOff>
    </xdr:from>
    <xdr:to>
      <xdr:col>27</xdr:col>
      <xdr:colOff>495300</xdr:colOff>
      <xdr:row>20</xdr:row>
      <xdr:rowOff>133350</xdr:rowOff>
    </xdr:to>
    <xdr:graphicFrame macro="">
      <xdr:nvGraphicFramePr>
        <xdr:cNvPr id="144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emplates.modelsheetsoft.com/browser/browse.aspx?s=captable.xls" TargetMode="External"/><Relationship Id="rId7" Type="http://schemas.openxmlformats.org/officeDocument/2006/relationships/hyperlink" Target="mailto:info@modelsheetsoft.com." TargetMode="External"/><Relationship Id="rId2" Type="http://schemas.openxmlformats.org/officeDocument/2006/relationships/hyperlink" Target="mailto:info@modelsheetsoft.com" TargetMode="External"/><Relationship Id="rId1" Type="http://schemas.openxmlformats.org/officeDocument/2006/relationships/hyperlink" Target="http://www.modelsheetsoft.com/refer.aspx?s=captable.xls" TargetMode="External"/><Relationship Id="rId6" Type="http://schemas.openxmlformats.org/officeDocument/2006/relationships/hyperlink" Target="http://www.modelsheetsoft.com/consulting-business-analysis.aspx" TargetMode="External"/><Relationship Id="rId5" Type="http://schemas.openxmlformats.org/officeDocument/2006/relationships/hyperlink" Target="http://templates.modelsheetsoft.com/modelsheettemplates/capitalization-table-templates.aspx?s=captable.xls" TargetMode="External"/><Relationship Id="rId4" Type="http://schemas.openxmlformats.org/officeDocument/2006/relationships/hyperlink" Target="http://www.modelsheetsoft.com/consulting-business-analysis.aspx?s=captable.xl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173"/>
  <sheetViews>
    <sheetView tabSelected="1" workbookViewId="0">
      <selection activeCell="B1" sqref="B1"/>
    </sheetView>
  </sheetViews>
  <sheetFormatPr defaultRowHeight="12.75" outlineLevelRow="2" x14ac:dyDescent="0.2"/>
  <cols>
    <col min="1" max="1" width="98.7109375" style="230" customWidth="1"/>
    <col min="2" max="16384" width="9.140625" style="225"/>
  </cols>
  <sheetData>
    <row r="2" spans="1:1" ht="15.75" x14ac:dyDescent="0.2">
      <c r="A2" s="224"/>
    </row>
    <row r="3" spans="1:1" ht="18" x14ac:dyDescent="0.2">
      <c r="A3" s="226" t="s">
        <v>824</v>
      </c>
    </row>
    <row r="5" spans="1:1" ht="15" x14ac:dyDescent="0.2">
      <c r="A5" s="227" t="s">
        <v>825</v>
      </c>
    </row>
    <row r="6" spans="1:1" x14ac:dyDescent="0.2">
      <c r="A6" s="228" t="s">
        <v>826</v>
      </c>
    </row>
    <row r="7" spans="1:1" x14ac:dyDescent="0.2">
      <c r="A7" s="229"/>
    </row>
    <row r="8" spans="1:1" ht="51" x14ac:dyDescent="0.2">
      <c r="A8" s="230" t="s">
        <v>827</v>
      </c>
    </row>
    <row r="9" spans="1:1" x14ac:dyDescent="0.2">
      <c r="A9" s="231" t="s">
        <v>828</v>
      </c>
    </row>
    <row r="10" spans="1:1" x14ac:dyDescent="0.2">
      <c r="A10" s="229"/>
    </row>
    <row r="11" spans="1:1" ht="15" x14ac:dyDescent="0.2">
      <c r="A11" s="232" t="s">
        <v>829</v>
      </c>
    </row>
    <row r="12" spans="1:1" x14ac:dyDescent="0.2">
      <c r="A12" s="229"/>
    </row>
    <row r="13" spans="1:1" x14ac:dyDescent="0.2">
      <c r="A13" s="233" t="s">
        <v>830</v>
      </c>
    </row>
    <row r="14" spans="1:1" collapsed="1" x14ac:dyDescent="0.2">
      <c r="A14" s="234" t="s">
        <v>831</v>
      </c>
    </row>
    <row r="15" spans="1:1" hidden="1" outlineLevel="1" x14ac:dyDescent="0.2">
      <c r="A15" s="234" t="s">
        <v>832</v>
      </c>
    </row>
    <row r="16" spans="1:1" hidden="1" outlineLevel="2" x14ac:dyDescent="0.2">
      <c r="A16" s="235" t="s">
        <v>833</v>
      </c>
    </row>
    <row r="17" spans="1:1" hidden="1" outlineLevel="2" x14ac:dyDescent="0.2">
      <c r="A17" s="235" t="s">
        <v>834</v>
      </c>
    </row>
    <row r="18" spans="1:1" hidden="1" outlineLevel="2" x14ac:dyDescent="0.2">
      <c r="A18" s="235" t="s">
        <v>835</v>
      </c>
    </row>
    <row r="19" spans="1:1" hidden="1" outlineLevel="2" x14ac:dyDescent="0.2">
      <c r="A19" s="235" t="s">
        <v>836</v>
      </c>
    </row>
    <row r="20" spans="1:1" ht="25.5" hidden="1" outlineLevel="2" x14ac:dyDescent="0.2">
      <c r="A20" s="235" t="s">
        <v>837</v>
      </c>
    </row>
    <row r="21" spans="1:1" hidden="1" outlineLevel="2" x14ac:dyDescent="0.2">
      <c r="A21" s="234"/>
    </row>
    <row r="22" spans="1:1" hidden="1" outlineLevel="1" x14ac:dyDescent="0.2">
      <c r="A22" s="234" t="s">
        <v>838</v>
      </c>
    </row>
    <row r="23" spans="1:1" hidden="1" outlineLevel="2" x14ac:dyDescent="0.2">
      <c r="A23" s="235" t="s">
        <v>839</v>
      </c>
    </row>
    <row r="24" spans="1:1" hidden="1" outlineLevel="2" x14ac:dyDescent="0.2">
      <c r="A24" s="235" t="s">
        <v>840</v>
      </c>
    </row>
    <row r="25" spans="1:1" hidden="1" outlineLevel="2" x14ac:dyDescent="0.2">
      <c r="A25" s="235" t="s">
        <v>841</v>
      </c>
    </row>
    <row r="26" spans="1:1" hidden="1" outlineLevel="2" x14ac:dyDescent="0.2">
      <c r="A26" s="229"/>
    </row>
    <row r="27" spans="1:1" hidden="1" outlineLevel="1" x14ac:dyDescent="0.2">
      <c r="A27" s="234" t="s">
        <v>842</v>
      </c>
    </row>
    <row r="28" spans="1:1" hidden="1" outlineLevel="2" x14ac:dyDescent="0.2">
      <c r="A28" s="235" t="s">
        <v>843</v>
      </c>
    </row>
    <row r="29" spans="1:1" ht="25.5" hidden="1" outlineLevel="2" x14ac:dyDescent="0.2">
      <c r="A29" s="235" t="s">
        <v>844</v>
      </c>
    </row>
    <row r="30" spans="1:1" hidden="1" outlineLevel="2" x14ac:dyDescent="0.2">
      <c r="A30" s="235" t="s">
        <v>845</v>
      </c>
    </row>
    <row r="31" spans="1:1" hidden="1" outlineLevel="1" x14ac:dyDescent="0.2">
      <c r="A31" s="235"/>
    </row>
    <row r="32" spans="1:1" x14ac:dyDescent="0.2">
      <c r="A32" s="236" t="s">
        <v>846</v>
      </c>
    </row>
    <row r="33" spans="1:1" x14ac:dyDescent="0.2">
      <c r="A33" s="229"/>
    </row>
    <row r="34" spans="1:1" x14ac:dyDescent="0.2">
      <c r="A34" s="233" t="s">
        <v>847</v>
      </c>
    </row>
    <row r="35" spans="1:1" collapsed="1" x14ac:dyDescent="0.2">
      <c r="A35" s="234" t="s">
        <v>831</v>
      </c>
    </row>
    <row r="36" spans="1:1" hidden="1" outlineLevel="1" x14ac:dyDescent="0.2">
      <c r="A36" s="234" t="s">
        <v>848</v>
      </c>
    </row>
    <row r="37" spans="1:1" hidden="1" outlineLevel="1" x14ac:dyDescent="0.2">
      <c r="A37" s="234" t="s">
        <v>849</v>
      </c>
    </row>
    <row r="38" spans="1:1" hidden="1" outlineLevel="1" x14ac:dyDescent="0.2">
      <c r="A38" s="234"/>
    </row>
    <row r="39" spans="1:1" x14ac:dyDescent="0.2">
      <c r="A39" s="236" t="s">
        <v>850</v>
      </c>
    </row>
    <row r="40" spans="1:1" x14ac:dyDescent="0.2">
      <c r="A40" s="229"/>
    </row>
    <row r="41" spans="1:1" x14ac:dyDescent="0.2">
      <c r="A41" s="233" t="s">
        <v>851</v>
      </c>
    </row>
    <row r="42" spans="1:1" x14ac:dyDescent="0.2">
      <c r="A42" s="229"/>
    </row>
    <row r="43" spans="1:1" ht="25.5" x14ac:dyDescent="0.2">
      <c r="A43" s="237" t="s">
        <v>852</v>
      </c>
    </row>
    <row r="44" spans="1:1" collapsed="1" x14ac:dyDescent="0.2">
      <c r="A44" s="234" t="s">
        <v>853</v>
      </c>
    </row>
    <row r="45" spans="1:1" hidden="1" outlineLevel="1" x14ac:dyDescent="0.2">
      <c r="A45" s="238"/>
    </row>
    <row r="46" spans="1:1" ht="63.75" hidden="1" outlineLevel="1" x14ac:dyDescent="0.2">
      <c r="A46" s="239" t="s">
        <v>854</v>
      </c>
    </row>
    <row r="47" spans="1:1" ht="140.1" hidden="1" customHeight="1" outlineLevel="1" x14ac:dyDescent="0.2">
      <c r="A47" s="240"/>
    </row>
    <row r="48" spans="1:1" ht="89.25" hidden="1" outlineLevel="1" x14ac:dyDescent="0.2">
      <c r="A48" s="241" t="s">
        <v>855</v>
      </c>
    </row>
    <row r="49" spans="1:1" hidden="1" outlineLevel="1" x14ac:dyDescent="0.2">
      <c r="A49" s="241"/>
    </row>
    <row r="50" spans="1:1" ht="63.75" hidden="1" outlineLevel="1" x14ac:dyDescent="0.2">
      <c r="A50" s="242" t="s">
        <v>856</v>
      </c>
    </row>
    <row r="51" spans="1:1" x14ac:dyDescent="0.2">
      <c r="A51" s="229"/>
    </row>
    <row r="52" spans="1:1" x14ac:dyDescent="0.2">
      <c r="A52" s="240" t="s">
        <v>857</v>
      </c>
    </row>
    <row r="53" spans="1:1" x14ac:dyDescent="0.2">
      <c r="A53" s="231" t="s">
        <v>858</v>
      </c>
    </row>
    <row r="54" spans="1:1" x14ac:dyDescent="0.2">
      <c r="A54" s="231" t="s">
        <v>859</v>
      </c>
    </row>
    <row r="55" spans="1:1" x14ac:dyDescent="0.2">
      <c r="A55" s="243"/>
    </row>
    <row r="56" spans="1:1" x14ac:dyDescent="0.2">
      <c r="A56" s="244"/>
    </row>
    <row r="57" spans="1:1" x14ac:dyDescent="0.2">
      <c r="A57" s="245"/>
    </row>
    <row r="58" spans="1:1" ht="15.75" x14ac:dyDescent="0.2">
      <c r="A58" s="246" t="s">
        <v>860</v>
      </c>
    </row>
    <row r="60" spans="1:1" s="248" customFormat="1" ht="51" x14ac:dyDescent="0.2">
      <c r="A60" s="247" t="s">
        <v>861</v>
      </c>
    </row>
    <row r="61" spans="1:1" s="248" customFormat="1" x14ac:dyDescent="0.2">
      <c r="A61" s="247"/>
    </row>
    <row r="62" spans="1:1" s="248" customFormat="1" x14ac:dyDescent="0.2">
      <c r="A62" s="249" t="s">
        <v>862</v>
      </c>
    </row>
    <row r="63" spans="1:1" s="248" customFormat="1" x14ac:dyDescent="0.2">
      <c r="A63" s="247"/>
    </row>
    <row r="64" spans="1:1" s="248" customFormat="1" x14ac:dyDescent="0.2">
      <c r="A64" s="247" t="s">
        <v>863</v>
      </c>
    </row>
    <row r="65" spans="1:1" s="248" customFormat="1" x14ac:dyDescent="0.2">
      <c r="A65" s="247"/>
    </row>
    <row r="66" spans="1:1" s="248" customFormat="1" ht="25.5" x14ac:dyDescent="0.2">
      <c r="A66" s="250" t="s">
        <v>864</v>
      </c>
    </row>
    <row r="67" spans="1:1" s="248" customFormat="1" x14ac:dyDescent="0.2">
      <c r="A67" s="250"/>
    </row>
    <row r="68" spans="1:1" s="248" customFormat="1" x14ac:dyDescent="0.2">
      <c r="A68" s="250" t="s">
        <v>865</v>
      </c>
    </row>
    <row r="69" spans="1:1" s="248" customFormat="1" x14ac:dyDescent="0.2">
      <c r="A69" s="250"/>
    </row>
    <row r="70" spans="1:1" s="248" customFormat="1" x14ac:dyDescent="0.2">
      <c r="A70" s="250" t="s">
        <v>866</v>
      </c>
    </row>
    <row r="71" spans="1:1" s="248" customFormat="1" x14ac:dyDescent="0.2">
      <c r="A71" s="250"/>
    </row>
    <row r="72" spans="1:1" s="248" customFormat="1" ht="25.5" x14ac:dyDescent="0.2">
      <c r="A72" s="250" t="s">
        <v>867</v>
      </c>
    </row>
    <row r="73" spans="1:1" s="248" customFormat="1" x14ac:dyDescent="0.2">
      <c r="A73" s="250"/>
    </row>
    <row r="74" spans="1:1" s="248" customFormat="1" x14ac:dyDescent="0.2">
      <c r="A74" s="250" t="s">
        <v>868</v>
      </c>
    </row>
    <row r="75" spans="1:1" s="248" customFormat="1" x14ac:dyDescent="0.2">
      <c r="A75" s="250"/>
    </row>
    <row r="76" spans="1:1" s="248" customFormat="1" ht="25.5" x14ac:dyDescent="0.2">
      <c r="A76" s="247" t="s">
        <v>869</v>
      </c>
    </row>
    <row r="77" spans="1:1" s="248" customFormat="1" x14ac:dyDescent="0.2">
      <c r="A77" s="247"/>
    </row>
    <row r="78" spans="1:1" s="248" customFormat="1" x14ac:dyDescent="0.2">
      <c r="A78" s="249" t="s">
        <v>870</v>
      </c>
    </row>
    <row r="79" spans="1:1" s="248" customFormat="1" x14ac:dyDescent="0.2">
      <c r="A79" s="247"/>
    </row>
    <row r="80" spans="1:1" s="248" customFormat="1" x14ac:dyDescent="0.2">
      <c r="A80" s="247" t="s">
        <v>871</v>
      </c>
    </row>
    <row r="81" spans="1:1" s="248" customFormat="1" x14ac:dyDescent="0.2">
      <c r="A81" s="247"/>
    </row>
    <row r="82" spans="1:1" s="248" customFormat="1" x14ac:dyDescent="0.2">
      <c r="A82" s="250" t="s">
        <v>872</v>
      </c>
    </row>
    <row r="83" spans="1:1" s="248" customFormat="1" x14ac:dyDescent="0.2">
      <c r="A83" s="250"/>
    </row>
    <row r="84" spans="1:1" s="248" customFormat="1" x14ac:dyDescent="0.2">
      <c r="A84" s="250" t="s">
        <v>873</v>
      </c>
    </row>
    <row r="85" spans="1:1" s="248" customFormat="1" x14ac:dyDescent="0.2">
      <c r="A85" s="250"/>
    </row>
    <row r="86" spans="1:1" s="248" customFormat="1" x14ac:dyDescent="0.2">
      <c r="A86" s="250" t="s">
        <v>874</v>
      </c>
    </row>
    <row r="87" spans="1:1" s="248" customFormat="1" x14ac:dyDescent="0.2">
      <c r="A87" s="250"/>
    </row>
    <row r="88" spans="1:1" s="248" customFormat="1" ht="25.5" x14ac:dyDescent="0.2">
      <c r="A88" s="250" t="s">
        <v>875</v>
      </c>
    </row>
    <row r="89" spans="1:1" s="248" customFormat="1" x14ac:dyDescent="0.2">
      <c r="A89" s="250"/>
    </row>
    <row r="90" spans="1:1" s="248" customFormat="1" x14ac:dyDescent="0.2">
      <c r="A90" s="250" t="s">
        <v>876</v>
      </c>
    </row>
    <row r="91" spans="1:1" s="248" customFormat="1" x14ac:dyDescent="0.2">
      <c r="A91" s="247"/>
    </row>
    <row r="92" spans="1:1" s="248" customFormat="1" x14ac:dyDescent="0.2">
      <c r="A92" s="249" t="s">
        <v>877</v>
      </c>
    </row>
    <row r="93" spans="1:1" s="248" customFormat="1" x14ac:dyDescent="0.2">
      <c r="A93" s="247"/>
    </row>
    <row r="94" spans="1:1" s="248" customFormat="1" ht="25.5" x14ac:dyDescent="0.2">
      <c r="A94" s="247" t="s">
        <v>878</v>
      </c>
    </row>
    <row r="95" spans="1:1" s="248" customFormat="1" x14ac:dyDescent="0.2">
      <c r="A95" s="247"/>
    </row>
    <row r="96" spans="1:1" s="248" customFormat="1" x14ac:dyDescent="0.2">
      <c r="A96" s="249" t="s">
        <v>879</v>
      </c>
    </row>
    <row r="97" spans="1:1" s="248" customFormat="1" x14ac:dyDescent="0.2">
      <c r="A97" s="247"/>
    </row>
    <row r="98" spans="1:1" s="248" customFormat="1" x14ac:dyDescent="0.2">
      <c r="A98" s="247" t="s">
        <v>880</v>
      </c>
    </row>
    <row r="99" spans="1:1" s="248" customFormat="1" x14ac:dyDescent="0.2">
      <c r="A99" s="247"/>
    </row>
    <row r="100" spans="1:1" s="248" customFormat="1" x14ac:dyDescent="0.2">
      <c r="A100" s="250" t="s">
        <v>881</v>
      </c>
    </row>
    <row r="101" spans="1:1" s="248" customFormat="1" x14ac:dyDescent="0.2">
      <c r="A101" s="250"/>
    </row>
    <row r="102" spans="1:1" s="248" customFormat="1" ht="25.5" x14ac:dyDescent="0.2">
      <c r="A102" s="250" t="s">
        <v>882</v>
      </c>
    </row>
    <row r="103" spans="1:1" s="248" customFormat="1" x14ac:dyDescent="0.2">
      <c r="A103" s="250"/>
    </row>
    <row r="104" spans="1:1" s="248" customFormat="1" x14ac:dyDescent="0.2">
      <c r="A104" s="250" t="s">
        <v>883</v>
      </c>
    </row>
    <row r="105" spans="1:1" s="248" customFormat="1" x14ac:dyDescent="0.2">
      <c r="A105" s="250"/>
    </row>
    <row r="106" spans="1:1" s="248" customFormat="1" ht="25.5" x14ac:dyDescent="0.2">
      <c r="A106" s="250" t="s">
        <v>884</v>
      </c>
    </row>
    <row r="107" spans="1:1" s="248" customFormat="1" x14ac:dyDescent="0.2">
      <c r="A107" s="251"/>
    </row>
    <row r="108" spans="1:1" s="248" customFormat="1" x14ac:dyDescent="0.2">
      <c r="A108" s="250" t="s">
        <v>885</v>
      </c>
    </row>
    <row r="109" spans="1:1" s="248" customFormat="1" x14ac:dyDescent="0.2">
      <c r="A109" s="250"/>
    </row>
    <row r="110" spans="1:1" s="248" customFormat="1" x14ac:dyDescent="0.2">
      <c r="A110" s="252" t="s">
        <v>886</v>
      </c>
    </row>
    <row r="111" spans="1:1" s="248" customFormat="1" x14ac:dyDescent="0.2">
      <c r="A111" s="252"/>
    </row>
    <row r="112" spans="1:1" s="248" customFormat="1" ht="38.25" x14ac:dyDescent="0.2">
      <c r="A112" s="252" t="s">
        <v>887</v>
      </c>
    </row>
    <row r="113" spans="1:1" s="248" customFormat="1" x14ac:dyDescent="0.2">
      <c r="A113" s="247"/>
    </row>
    <row r="114" spans="1:1" s="248" customFormat="1" x14ac:dyDescent="0.2">
      <c r="A114" s="249" t="s">
        <v>888</v>
      </c>
    </row>
    <row r="115" spans="1:1" s="248" customFormat="1" x14ac:dyDescent="0.2">
      <c r="A115" s="247"/>
    </row>
    <row r="116" spans="1:1" s="248" customFormat="1" x14ac:dyDescent="0.2">
      <c r="A116" s="253" t="s">
        <v>889</v>
      </c>
    </row>
    <row r="117" spans="1:1" s="248" customFormat="1" x14ac:dyDescent="0.2">
      <c r="A117" s="247"/>
    </row>
    <row r="118" spans="1:1" s="248" customFormat="1" x14ac:dyDescent="0.2">
      <c r="A118" s="250" t="s">
        <v>890</v>
      </c>
    </row>
    <row r="119" spans="1:1" s="248" customFormat="1" x14ac:dyDescent="0.2">
      <c r="A119" s="250"/>
    </row>
    <row r="120" spans="1:1" s="248" customFormat="1" ht="25.5" x14ac:dyDescent="0.2">
      <c r="A120" s="250" t="s">
        <v>891</v>
      </c>
    </row>
    <row r="121" spans="1:1" s="248" customFormat="1" x14ac:dyDescent="0.2">
      <c r="A121" s="250"/>
    </row>
    <row r="122" spans="1:1" s="248" customFormat="1" x14ac:dyDescent="0.2">
      <c r="A122" s="250" t="s">
        <v>892</v>
      </c>
    </row>
    <row r="123" spans="1:1" s="248" customFormat="1" x14ac:dyDescent="0.2">
      <c r="A123" s="247"/>
    </row>
    <row r="124" spans="1:1" s="248" customFormat="1" x14ac:dyDescent="0.2">
      <c r="A124" s="252" t="s">
        <v>893</v>
      </c>
    </row>
    <row r="126" spans="1:1" x14ac:dyDescent="0.2">
      <c r="A126" s="244"/>
    </row>
    <row r="127" spans="1:1" x14ac:dyDescent="0.2">
      <c r="A127" s="254"/>
    </row>
    <row r="128" spans="1:1" ht="15.75" x14ac:dyDescent="0.2">
      <c r="A128" s="246" t="s">
        <v>894</v>
      </c>
    </row>
    <row r="130" spans="1:1" s="248" customFormat="1" x14ac:dyDescent="0.2">
      <c r="A130" s="233" t="s">
        <v>895</v>
      </c>
    </row>
    <row r="131" spans="1:1" s="248" customFormat="1" x14ac:dyDescent="0.2">
      <c r="A131" s="254"/>
    </row>
    <row r="132" spans="1:1" s="248" customFormat="1" x14ac:dyDescent="0.2">
      <c r="A132" s="254" t="s">
        <v>896</v>
      </c>
    </row>
    <row r="133" spans="1:1" s="248" customFormat="1" ht="25.5" x14ac:dyDescent="0.2">
      <c r="A133" s="250" t="s">
        <v>897</v>
      </c>
    </row>
    <row r="134" spans="1:1" s="248" customFormat="1" ht="38.25" x14ac:dyDescent="0.2">
      <c r="A134" s="250" t="s">
        <v>898</v>
      </c>
    </row>
    <row r="135" spans="1:1" s="248" customFormat="1" x14ac:dyDescent="0.2">
      <c r="A135" s="250" t="s">
        <v>899</v>
      </c>
    </row>
    <row r="136" spans="1:1" s="248" customFormat="1" ht="25.5" x14ac:dyDescent="0.2">
      <c r="A136" s="250" t="s">
        <v>900</v>
      </c>
    </row>
    <row r="137" spans="1:1" s="248" customFormat="1" ht="38.25" x14ac:dyDescent="0.2">
      <c r="A137" s="250" t="s">
        <v>901</v>
      </c>
    </row>
    <row r="138" spans="1:1" s="248" customFormat="1" x14ac:dyDescent="0.2">
      <c r="A138" s="247"/>
    </row>
    <row r="139" spans="1:1" s="248" customFormat="1" x14ac:dyDescent="0.2">
      <c r="A139" s="233" t="s">
        <v>902</v>
      </c>
    </row>
    <row r="140" spans="1:1" s="248" customFormat="1" x14ac:dyDescent="0.2">
      <c r="A140" s="247"/>
    </row>
    <row r="141" spans="1:1" s="248" customFormat="1" ht="25.5" x14ac:dyDescent="0.2">
      <c r="A141" s="252" t="s">
        <v>903</v>
      </c>
    </row>
    <row r="142" spans="1:1" s="248" customFormat="1" x14ac:dyDescent="0.2">
      <c r="A142" s="255" t="s">
        <v>904</v>
      </c>
    </row>
    <row r="143" spans="1:1" s="248" customFormat="1" x14ac:dyDescent="0.2">
      <c r="A143" s="255" t="s">
        <v>905</v>
      </c>
    </row>
    <row r="144" spans="1:1" s="248" customFormat="1" x14ac:dyDescent="0.2">
      <c r="A144" s="255" t="s">
        <v>906</v>
      </c>
    </row>
    <row r="145" spans="1:1" s="248" customFormat="1" x14ac:dyDescent="0.2">
      <c r="A145" s="255" t="s">
        <v>907</v>
      </c>
    </row>
    <row r="146" spans="1:1" s="248" customFormat="1" x14ac:dyDescent="0.2">
      <c r="A146" s="255" t="s">
        <v>908</v>
      </c>
    </row>
    <row r="147" spans="1:1" s="248" customFormat="1" x14ac:dyDescent="0.2">
      <c r="A147" s="255"/>
    </row>
    <row r="148" spans="1:1" s="248" customFormat="1" ht="38.25" x14ac:dyDescent="0.2">
      <c r="A148" s="256" t="s">
        <v>909</v>
      </c>
    </row>
    <row r="149" spans="1:1" s="248" customFormat="1" x14ac:dyDescent="0.2">
      <c r="A149" s="247"/>
    </row>
    <row r="150" spans="1:1" s="248" customFormat="1" x14ac:dyDescent="0.2">
      <c r="A150" s="233" t="s">
        <v>910</v>
      </c>
    </row>
    <row r="151" spans="1:1" s="248" customFormat="1" x14ac:dyDescent="0.2">
      <c r="A151" s="247"/>
    </row>
    <row r="152" spans="1:1" s="248" customFormat="1" x14ac:dyDescent="0.2">
      <c r="A152" s="247" t="s">
        <v>911</v>
      </c>
    </row>
    <row r="153" spans="1:1" s="248" customFormat="1" x14ac:dyDescent="0.2">
      <c r="A153" s="250" t="s">
        <v>912</v>
      </c>
    </row>
    <row r="154" spans="1:1" s="248" customFormat="1" x14ac:dyDescent="0.2">
      <c r="A154" s="250" t="s">
        <v>913</v>
      </c>
    </row>
    <row r="155" spans="1:1" s="248" customFormat="1" x14ac:dyDescent="0.2">
      <c r="A155" s="250" t="s">
        <v>914</v>
      </c>
    </row>
    <row r="156" spans="1:1" s="248" customFormat="1" x14ac:dyDescent="0.2">
      <c r="A156" s="250" t="s">
        <v>915</v>
      </c>
    </row>
    <row r="157" spans="1:1" s="248" customFormat="1" x14ac:dyDescent="0.2">
      <c r="A157" s="235" t="s">
        <v>916</v>
      </c>
    </row>
    <row r="158" spans="1:1" s="248" customFormat="1" ht="25.5" x14ac:dyDescent="0.2">
      <c r="A158" s="235" t="s">
        <v>917</v>
      </c>
    </row>
    <row r="159" spans="1:1" s="248" customFormat="1" x14ac:dyDescent="0.2">
      <c r="A159" s="250" t="s">
        <v>918</v>
      </c>
    </row>
    <row r="160" spans="1:1" s="248" customFormat="1" ht="25.5" x14ac:dyDescent="0.2">
      <c r="A160" s="247" t="s">
        <v>919</v>
      </c>
    </row>
    <row r="162" spans="1:1" s="248" customFormat="1" ht="15" x14ac:dyDescent="0.2">
      <c r="A162" s="257" t="s">
        <v>923</v>
      </c>
    </row>
    <row r="163" spans="1:1" s="248" customFormat="1" x14ac:dyDescent="0.2">
      <c r="A163" s="247"/>
    </row>
    <row r="164" spans="1:1" s="248" customFormat="1" ht="25.5" x14ac:dyDescent="0.2">
      <c r="A164" s="247" t="s">
        <v>924</v>
      </c>
    </row>
    <row r="165" spans="1:1" s="248" customFormat="1" x14ac:dyDescent="0.2">
      <c r="A165" s="258" t="s">
        <v>925</v>
      </c>
    </row>
    <row r="166" spans="1:1" s="248" customFormat="1" x14ac:dyDescent="0.2">
      <c r="A166" s="247" t="s">
        <v>926</v>
      </c>
    </row>
    <row r="167" spans="1:1" s="248" customFormat="1" x14ac:dyDescent="0.2">
      <c r="A167" s="259" t="s">
        <v>927</v>
      </c>
    </row>
    <row r="168" spans="1:1" s="248" customFormat="1" x14ac:dyDescent="0.2">
      <c r="A168" s="247"/>
    </row>
    <row r="169" spans="1:1" s="248" customFormat="1" x14ac:dyDescent="0.2">
      <c r="A169" s="247"/>
    </row>
    <row r="170" spans="1:1" x14ac:dyDescent="0.2">
      <c r="A170" s="230" t="s">
        <v>920</v>
      </c>
    </row>
    <row r="172" spans="1:1" x14ac:dyDescent="0.2">
      <c r="A172" s="230" t="s">
        <v>921</v>
      </c>
    </row>
    <row r="173" spans="1:1" x14ac:dyDescent="0.2">
      <c r="A173" s="230" t="s">
        <v>922</v>
      </c>
    </row>
  </sheetData>
  <hyperlinks>
    <hyperlink ref="A53" r:id="rId1"/>
    <hyperlink ref="A54" r:id="rId2"/>
    <hyperlink ref="A32" r:id="rId3"/>
    <hyperlink ref="A39" r:id="rId4"/>
    <hyperlink ref="A9" r:id="rId5"/>
    <hyperlink ref="A165" r:id="rId6"/>
    <hyperlink ref="A167" r:id="rId7"/>
  </hyperlinks>
  <printOptions horizontalCentered="1"/>
  <pageMargins left="0.45" right="0.45" top="0.5" bottom="0.5" header="0.3" footer="0.3"/>
  <pageSetup orientation="portrait" r:id="rId8"/>
  <headerFooter>
    <oddFooter>&amp;LModelSheet is a trademark of ModelSheet Software, LLC&amp;Rpage &amp;P of &amp;N</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T45" sqref="T45"/>
    </sheetView>
  </sheetViews>
  <sheetFormatPr defaultRowHeight="12.75" x14ac:dyDescent="0.2"/>
  <cols>
    <col min="1" max="28" width="9.7109375" customWidth="1"/>
  </cols>
  <sheetData>
    <row r="1" ht="12.75" customHeight="1" x14ac:dyDescent="0.2"/>
  </sheetData>
  <pageMargins left="0.25" right="0.25" top="0.5" bottom="0.5" header="0.3" footer="0.3"/>
  <pageSetup orientation="landscape"/>
  <headerFooter scaleWithDoc="0"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F126"/>
  <sheetViews>
    <sheetView zoomScaleNormal="100" workbookViewId="0"/>
  </sheetViews>
  <sheetFormatPr defaultRowHeight="12.75" customHeight="1" outlineLevelRow="1" x14ac:dyDescent="0.2"/>
  <cols>
    <col min="1" max="1" width="19.5703125" customWidth="1"/>
    <col min="2" max="2" width="17.5703125" customWidth="1"/>
    <col min="3" max="3" width="19.5703125" customWidth="1"/>
    <col min="4" max="5" width="15.140625" customWidth="1"/>
    <col min="6" max="6" width="10" customWidth="1"/>
  </cols>
  <sheetData>
    <row r="1" spans="1:6" ht="12.75" customHeight="1" x14ac:dyDescent="0.2">
      <c r="A1" s="261" t="str">
        <f>"Capitalization Table"</f>
        <v>Capitalization Table</v>
      </c>
      <c r="B1" s="261"/>
      <c r="C1" s="261"/>
      <c r="D1" s="261"/>
    </row>
    <row r="2" spans="1:6" ht="12.75" customHeight="1" x14ac:dyDescent="0.2">
      <c r="A2" s="261" t="str">
        <f>B8</f>
        <v>ABC Corp.</v>
      </c>
      <c r="B2" s="261"/>
      <c r="C2" s="261"/>
      <c r="D2" s="261"/>
    </row>
    <row r="3" spans="1:6" ht="12.75" customHeight="1" x14ac:dyDescent="0.2">
      <c r="A3" s="261" t="str">
        <f>IF("Inputs"="(Default Input)","Ignore this sheet in normal use.","Investment Scenario "&amp;1&amp;", Valuation Scenario "&amp;1)</f>
        <v>Investment Scenario 1, Valuation Scenario 1</v>
      </c>
      <c r="B3" s="261"/>
      <c r="C3" s="261"/>
      <c r="D3" s="261"/>
    </row>
    <row r="4" spans="1:6" ht="12.75" customHeight="1" x14ac:dyDescent="0.2">
      <c r="A4" s="261" t="str">
        <f>"Input Data"&amp;""</f>
        <v>Input Data</v>
      </c>
      <c r="B4" s="261"/>
      <c r="C4" s="261"/>
      <c r="D4" s="261"/>
    </row>
    <row r="5" spans="1:6" ht="12.75" customHeight="1" x14ac:dyDescent="0.2">
      <c r="A5" s="261" t="str">
        <f>" "</f>
        <v xml:space="preserve"> </v>
      </c>
      <c r="B5" s="261"/>
      <c r="C5" s="261"/>
      <c r="D5" s="261"/>
    </row>
    <row r="6" spans="1:6" ht="12.75" customHeight="1" x14ac:dyDescent="0.2">
      <c r="A6" s="260" t="str">
        <f>"Shaded cells are input cells. You can enter data in them."</f>
        <v>Shaded cells are input cells. You can enter data in them.</v>
      </c>
      <c r="B6" s="260"/>
      <c r="C6" s="260"/>
      <c r="D6" s="260"/>
      <c r="E6" s="260"/>
    </row>
    <row r="7" spans="1:6" ht="12.75" customHeight="1" x14ac:dyDescent="0.2">
      <c r="A7" s="260" t="str">
        <f>"Formulas in shaded cells are starting suggestions. You can overwrite them."</f>
        <v>Formulas in shaded cells are starting suggestions. You can overwrite them.</v>
      </c>
      <c r="B7" s="260"/>
      <c r="C7" s="260"/>
      <c r="D7" s="260"/>
      <c r="E7" s="260"/>
    </row>
    <row r="8" spans="1:6" ht="12.75" customHeight="1" x14ac:dyDescent="0.2">
      <c r="A8" s="4" t="str">
        <f>Labels!B5</f>
        <v>Company Name</v>
      </c>
      <c r="B8" s="5" t="s">
        <v>76</v>
      </c>
    </row>
    <row r="11" spans="1:6" ht="12.75" customHeight="1" x14ac:dyDescent="0.2">
      <c r="A11" s="2" t="str">
        <f>"Event Data"</f>
        <v>Event Data</v>
      </c>
    </row>
    <row r="12" spans="1:6" ht="12.75" customHeight="1" x14ac:dyDescent="0.2">
      <c r="A12" s="1" t="str">
        <f>" "</f>
        <v xml:space="preserve"> </v>
      </c>
    </row>
    <row r="13" spans="1:6" ht="12.75" customHeight="1" x14ac:dyDescent="0.2">
      <c r="B13" s="6" t="str">
        <f>Labels!B98</f>
        <v>Seed</v>
      </c>
      <c r="C13" s="7" t="str">
        <f>Labels!B99</f>
        <v>Round A</v>
      </c>
      <c r="D13" s="8" t="str">
        <f>Labels!B100</f>
        <v>Exit</v>
      </c>
    </row>
    <row r="14" spans="1:6" ht="12.75" customHeight="1" x14ac:dyDescent="0.2">
      <c r="A14" s="4" t="str">
        <f>Labels!B21</f>
        <v>Event Date</v>
      </c>
      <c r="B14" s="9">
        <f>DATE(2010,11*1-3,1)</f>
        <v>40391</v>
      </c>
      <c r="C14" s="9">
        <f>DATE(2010,11*2-3,1)</f>
        <v>40725</v>
      </c>
      <c r="D14" s="10">
        <f>DATE(2010,11*3-3,1)</f>
        <v>41061</v>
      </c>
    </row>
    <row r="15" spans="1:6" ht="12.75" customHeight="1" x14ac:dyDescent="0.2">
      <c r="A15" s="260" t="str">
        <f>""</f>
        <v/>
      </c>
      <c r="B15" s="260"/>
      <c r="C15" s="260"/>
      <c r="D15" s="260"/>
      <c r="E15" s="260"/>
      <c r="F15" s="260"/>
    </row>
    <row r="19" spans="1:5" ht="12.75" customHeight="1" x14ac:dyDescent="0.2">
      <c r="A19" s="2" t="str">
        <f>"Convertible Notes"</f>
        <v>Convertible Notes</v>
      </c>
    </row>
    <row r="20" spans="1:5" ht="12.75" hidden="1" customHeight="1" outlineLevel="1" x14ac:dyDescent="0.2">
      <c r="A20" s="1" t="str">
        <f>" "</f>
        <v xml:space="preserve"> </v>
      </c>
    </row>
    <row r="21" spans="1:5" ht="12.75" hidden="1" customHeight="1" outlineLevel="1" x14ac:dyDescent="0.2">
      <c r="A21" s="1" t="str">
        <f>" "</f>
        <v xml:space="preserve"> </v>
      </c>
    </row>
    <row r="22" spans="1:5" ht="12.75" hidden="1" customHeight="1" outlineLevel="1" x14ac:dyDescent="0.2">
      <c r="B22" s="6" t="str">
        <f>Labels!B13</f>
        <v>Conv Discount %</v>
      </c>
      <c r="C22" s="7" t="str">
        <f>Labels!B47</f>
        <v>Liq Multiple</v>
      </c>
      <c r="D22" s="8" t="str">
        <f>Labels!B19</f>
        <v>Dividend % (Yr)</v>
      </c>
    </row>
    <row r="23" spans="1:5" ht="12.75" hidden="1" customHeight="1" outlineLevel="1" x14ac:dyDescent="0.2">
      <c r="A23" s="11" t="str">
        <f>Labels!B104</f>
        <v>Series B</v>
      </c>
      <c r="B23" s="12">
        <f>0.3</f>
        <v>0.3</v>
      </c>
      <c r="C23" s="13">
        <f>1</f>
        <v>1</v>
      </c>
      <c r="D23" s="14">
        <f>0.04</f>
        <v>0.04</v>
      </c>
    </row>
    <row r="24" spans="1:5" ht="12.75" hidden="1" customHeight="1" outlineLevel="1" x14ac:dyDescent="0.2">
      <c r="A24" s="15" t="str">
        <f>Labels!B105</f>
        <v>Series A</v>
      </c>
      <c r="B24" s="16">
        <f>0.3</f>
        <v>0.3</v>
      </c>
      <c r="C24" s="17">
        <f>1</f>
        <v>1</v>
      </c>
      <c r="D24" s="18">
        <f>0.04</f>
        <v>0.04</v>
      </c>
    </row>
    <row r="25" spans="1:5" ht="12.75" hidden="1" customHeight="1" outlineLevel="1" x14ac:dyDescent="0.2"/>
    <row r="26" spans="1:5" ht="12.75" hidden="1" customHeight="1" outlineLevel="1" x14ac:dyDescent="0.2">
      <c r="A26" s="1" t="str">
        <f>"Conversion Criteria"</f>
        <v>Conversion Criteria</v>
      </c>
    </row>
    <row r="27" spans="1:5" ht="12.75" hidden="1" customHeight="1" outlineLevel="1" x14ac:dyDescent="0.2">
      <c r="B27" s="6" t="str">
        <f>Labels!B9</f>
        <v>Trigger Date</v>
      </c>
      <c r="C27" s="7" t="str">
        <f>Labels!B10</f>
        <v>Trigger Invest</v>
      </c>
      <c r="D27" s="7" t="str">
        <f>Labels!B11</f>
        <v>Trigger Value %</v>
      </c>
      <c r="E27" s="8" t="str">
        <f>Labels!B8</f>
        <v>Liq Premium %</v>
      </c>
    </row>
    <row r="28" spans="1:5" ht="12.75" hidden="1" customHeight="1" outlineLevel="1" x14ac:dyDescent="0.2">
      <c r="A28" s="11" t="str">
        <f>Labels!B104</f>
        <v>Series B</v>
      </c>
      <c r="B28" s="19">
        <f>DATE(2011,4,1)</f>
        <v>40634</v>
      </c>
      <c r="C28" s="20">
        <f>1000000</f>
        <v>1000000</v>
      </c>
      <c r="D28" s="12">
        <f>0.5</f>
        <v>0.5</v>
      </c>
      <c r="E28" s="21">
        <f>0.2</f>
        <v>0.2</v>
      </c>
    </row>
    <row r="29" spans="1:5" ht="12.75" hidden="1" customHeight="1" outlineLevel="1" x14ac:dyDescent="0.2">
      <c r="A29" s="15" t="str">
        <f>Labels!B105</f>
        <v>Series A</v>
      </c>
      <c r="B29" s="22">
        <f>DATE(2011,4,1)</f>
        <v>40634</v>
      </c>
      <c r="C29" s="23">
        <f>1000000</f>
        <v>1000000</v>
      </c>
      <c r="D29" s="16">
        <f>0.5</f>
        <v>0.5</v>
      </c>
      <c r="E29" s="24">
        <f>0.2</f>
        <v>0.2</v>
      </c>
    </row>
    <row r="30" spans="1:5" ht="12.75" hidden="1" customHeight="1" outlineLevel="1" x14ac:dyDescent="0.2"/>
    <row r="31" spans="1:5" ht="12.75" hidden="1" customHeight="1" outlineLevel="1" x14ac:dyDescent="0.2">
      <c r="A31" s="1" t="str">
        <f>"Rates of Return"</f>
        <v>Rates of Return</v>
      </c>
    </row>
    <row r="32" spans="1:5" ht="12.75" hidden="1" customHeight="1" outlineLevel="1" x14ac:dyDescent="0.2">
      <c r="B32" s="6" t="str">
        <f>Labels!B14</f>
        <v>Discount Rate (Yr)</v>
      </c>
      <c r="C32" s="8" t="str">
        <f>Labels!B45</f>
        <v>IRR Initial Guess (Yr)</v>
      </c>
    </row>
    <row r="33" spans="1:5" ht="12.75" hidden="1" customHeight="1" outlineLevel="1" x14ac:dyDescent="0.2">
      <c r="A33" s="11" t="str">
        <f>Labels!B104</f>
        <v>Series B</v>
      </c>
      <c r="B33" s="12">
        <f>0.3</f>
        <v>0.3</v>
      </c>
      <c r="C33" s="14">
        <f>0.5</f>
        <v>0.5</v>
      </c>
    </row>
    <row r="34" spans="1:5" ht="12.75" hidden="1" customHeight="1" outlineLevel="1" x14ac:dyDescent="0.2">
      <c r="A34" s="15" t="str">
        <f>Labels!B105</f>
        <v>Series A</v>
      </c>
      <c r="B34" s="16">
        <f>0.3</f>
        <v>0.3</v>
      </c>
      <c r="C34" s="18">
        <f>0.5</f>
        <v>0.5</v>
      </c>
    </row>
    <row r="35" spans="1:5" ht="12.75" hidden="1" customHeight="1" outlineLevel="1" x14ac:dyDescent="0.2"/>
    <row r="36" spans="1:5" ht="12.75" hidden="1" customHeight="1" outlineLevel="1" x14ac:dyDescent="0.2">
      <c r="B36" s="6" t="str">
        <f>Labels!B98</f>
        <v>Seed</v>
      </c>
      <c r="C36" s="7" t="str">
        <f>Labels!B99</f>
        <v>Round A</v>
      </c>
      <c r="D36" s="7" t="str">
        <f>Labels!B100</f>
        <v>Exit</v>
      </c>
      <c r="E36" s="25" t="str">
        <f>Labels!C97</f>
        <v>Total</v>
      </c>
    </row>
    <row r="37" spans="1:5" ht="12.75" hidden="1" customHeight="1" outlineLevel="1" x14ac:dyDescent="0.2">
      <c r="A37" s="11" t="str">
        <f>Labels!B43</f>
        <v>New Investment</v>
      </c>
      <c r="B37" s="26"/>
      <c r="C37" s="26"/>
      <c r="D37" s="26"/>
      <c r="E37" s="27"/>
    </row>
    <row r="38" spans="1:5" ht="12.75" hidden="1" customHeight="1" outlineLevel="1" x14ac:dyDescent="0.2">
      <c r="A38" s="28" t="str">
        <f>"   "&amp;Labels!B104</f>
        <v xml:space="preserve">   Series B</v>
      </c>
      <c r="B38" s="29">
        <f>0</f>
        <v>0</v>
      </c>
      <c r="C38" s="29">
        <f>0</f>
        <v>0</v>
      </c>
      <c r="D38" s="29">
        <f>0</f>
        <v>0</v>
      </c>
      <c r="E38" s="30">
        <f>SUM(B38:D38)</f>
        <v>0</v>
      </c>
    </row>
    <row r="39" spans="1:5" ht="12.75" hidden="1" customHeight="1" outlineLevel="1" x14ac:dyDescent="0.2">
      <c r="A39" s="28" t="str">
        <f>"   "&amp;Labels!B105</f>
        <v xml:space="preserve">   Series A</v>
      </c>
      <c r="B39" s="29">
        <f>0</f>
        <v>0</v>
      </c>
      <c r="C39" s="29">
        <f>0</f>
        <v>0</v>
      </c>
      <c r="D39" s="29">
        <f>0</f>
        <v>0</v>
      </c>
      <c r="E39" s="30">
        <f>SUM(B39:D39)</f>
        <v>0</v>
      </c>
    </row>
    <row r="40" spans="1:5" ht="12.75" hidden="1" customHeight="1" outlineLevel="1" x14ac:dyDescent="0.2">
      <c r="A40" s="15" t="str">
        <f>"   "&amp;Labels!C103</f>
        <v xml:space="preserve">   Subtotal</v>
      </c>
      <c r="B40" s="31">
        <f>SUM(B38:B39)</f>
        <v>0</v>
      </c>
      <c r="C40" s="31">
        <f>SUM(C38:C39)</f>
        <v>0</v>
      </c>
      <c r="D40" s="31">
        <f>SUM(D38:D39)</f>
        <v>0</v>
      </c>
      <c r="E40" s="32">
        <f>SUM(E38:E39)</f>
        <v>0</v>
      </c>
    </row>
    <row r="41" spans="1:5" ht="12.75" hidden="1" customHeight="1" outlineLevel="1" x14ac:dyDescent="0.2"/>
    <row r="42" spans="1:5" ht="12.75" hidden="1" customHeight="1" outlineLevel="1" collapsed="1" x14ac:dyDescent="0.2"/>
    <row r="43" spans="1:5" ht="12.75" customHeight="1" collapsed="1" x14ac:dyDescent="0.2"/>
    <row r="44" spans="1:5" ht="12.75" customHeight="1" x14ac:dyDescent="0.2">
      <c r="A44" s="2" t="str">
        <f>"Stock"</f>
        <v>Stock</v>
      </c>
    </row>
    <row r="45" spans="1:5" ht="12.75" customHeight="1" x14ac:dyDescent="0.2">
      <c r="A45" s="1" t="str">
        <f>" "</f>
        <v xml:space="preserve"> </v>
      </c>
    </row>
    <row r="46" spans="1:5" ht="12.75" customHeight="1" x14ac:dyDescent="0.2">
      <c r="A46" s="3" t="str">
        <f>"Preferred Shares"</f>
        <v>Preferred Shares</v>
      </c>
    </row>
    <row r="47" spans="1:5" ht="12.75" hidden="1" customHeight="1" outlineLevel="1" x14ac:dyDescent="0.2">
      <c r="A47" s="1" t="str">
        <f>" "</f>
        <v xml:space="preserve"> </v>
      </c>
    </row>
    <row r="48" spans="1:5" ht="12.75" hidden="1" customHeight="1" outlineLevel="1" x14ac:dyDescent="0.2">
      <c r="B48" s="6" t="str">
        <f>Labels!B98</f>
        <v>Seed</v>
      </c>
      <c r="C48" s="7" t="str">
        <f>Labels!B99</f>
        <v>Round A</v>
      </c>
      <c r="D48" s="8" t="str">
        <f>Labels!B100</f>
        <v>Exit</v>
      </c>
    </row>
    <row r="49" spans="1:5" ht="12.75" hidden="1" customHeight="1" outlineLevel="1" x14ac:dyDescent="0.2">
      <c r="A49" s="11" t="str">
        <f>Labels!B66</f>
        <v>Price Premium %</v>
      </c>
      <c r="B49" s="33"/>
      <c r="C49" s="33"/>
      <c r="D49" s="34"/>
    </row>
    <row r="50" spans="1:5" ht="12.75" hidden="1" customHeight="1" outlineLevel="1" x14ac:dyDescent="0.2">
      <c r="A50" s="35" t="str">
        <f>"   "&amp;Labels!B107</f>
        <v xml:space="preserve">   Series A</v>
      </c>
      <c r="B50" s="36">
        <f>0.1</f>
        <v>0.1</v>
      </c>
      <c r="C50" s="36">
        <f>B50</f>
        <v>0.1</v>
      </c>
      <c r="D50" s="37">
        <f>C50</f>
        <v>0.1</v>
      </c>
    </row>
    <row r="51" spans="1:5" ht="12.75" hidden="1" customHeight="1" outlineLevel="1" x14ac:dyDescent="0.2"/>
    <row r="52" spans="1:5" ht="12.75" hidden="1" customHeight="1" outlineLevel="1" x14ac:dyDescent="0.2">
      <c r="B52" s="6" t="str">
        <f>Labels!B47</f>
        <v>Liq Multiple</v>
      </c>
      <c r="C52" s="8" t="str">
        <f>Labels!B19</f>
        <v>Dividend % (Yr)</v>
      </c>
    </row>
    <row r="53" spans="1:5" ht="12.75" hidden="1" customHeight="1" outlineLevel="1" x14ac:dyDescent="0.2">
      <c r="A53" s="4" t="str">
        <f>Labels!B107</f>
        <v>Series A</v>
      </c>
      <c r="B53" s="38">
        <f>1</f>
        <v>1</v>
      </c>
      <c r="C53" s="39">
        <f>0.06</f>
        <v>0.06</v>
      </c>
    </row>
    <row r="54" spans="1:5" ht="12.75" hidden="1" customHeight="1" outlineLevel="1" x14ac:dyDescent="0.2"/>
    <row r="55" spans="1:5" ht="12.75" hidden="1" customHeight="1" outlineLevel="1" x14ac:dyDescent="0.2">
      <c r="A55" s="1" t="str">
        <f>"Conversion Criteria"</f>
        <v>Conversion Criteria</v>
      </c>
    </row>
    <row r="56" spans="1:5" ht="12.75" hidden="1" customHeight="1" outlineLevel="1" x14ac:dyDescent="0.2">
      <c r="B56" s="6" t="str">
        <f>Labels!B9</f>
        <v>Trigger Date</v>
      </c>
      <c r="C56" s="7" t="str">
        <f>Labels!B10</f>
        <v>Trigger Invest</v>
      </c>
      <c r="D56" s="7" t="str">
        <f>Labels!B11</f>
        <v>Trigger Value %</v>
      </c>
      <c r="E56" s="8" t="str">
        <f>Labels!B8</f>
        <v>Liq Premium %</v>
      </c>
    </row>
    <row r="57" spans="1:5" ht="12.75" hidden="1" customHeight="1" outlineLevel="1" x14ac:dyDescent="0.2">
      <c r="A57" s="4" t="str">
        <f>Labels!B107</f>
        <v>Series A</v>
      </c>
      <c r="B57" s="9">
        <f>DATE(2011,4,1)</f>
        <v>40634</v>
      </c>
      <c r="C57" s="40">
        <f>1500000</f>
        <v>1500000</v>
      </c>
      <c r="D57" s="41">
        <f>0.5</f>
        <v>0.5</v>
      </c>
      <c r="E57" s="42">
        <f>-0.2</f>
        <v>-0.2</v>
      </c>
    </row>
    <row r="58" spans="1:5" ht="12.75" hidden="1" customHeight="1" outlineLevel="1" x14ac:dyDescent="0.2"/>
    <row r="59" spans="1:5" ht="12.75" hidden="1" customHeight="1" outlineLevel="1" x14ac:dyDescent="0.2">
      <c r="A59" s="1" t="str">
        <f>"Rates of Return"</f>
        <v>Rates of Return</v>
      </c>
    </row>
    <row r="60" spans="1:5" ht="12.75" hidden="1" customHeight="1" outlineLevel="1" x14ac:dyDescent="0.2">
      <c r="B60" s="6" t="str">
        <f>Labels!B14</f>
        <v>Discount Rate (Yr)</v>
      </c>
      <c r="C60" s="8" t="str">
        <f>Labels!B45</f>
        <v>IRR Initial Guess (Yr)</v>
      </c>
    </row>
    <row r="61" spans="1:5" ht="12.75" hidden="1" customHeight="1" outlineLevel="1" x14ac:dyDescent="0.2">
      <c r="A61" s="4" t="str">
        <f>Labels!B107</f>
        <v>Series A</v>
      </c>
      <c r="B61" s="41">
        <f>0.3</f>
        <v>0.3</v>
      </c>
      <c r="C61" s="39">
        <f>0.5</f>
        <v>0.5</v>
      </c>
    </row>
    <row r="62" spans="1:5" ht="12.75" hidden="1" customHeight="1" outlineLevel="1" x14ac:dyDescent="0.2"/>
    <row r="63" spans="1:5" ht="12.75" hidden="1" customHeight="1" outlineLevel="1" x14ac:dyDescent="0.2">
      <c r="B63" s="6" t="str">
        <f>Labels!B98</f>
        <v>Seed</v>
      </c>
      <c r="C63" s="7" t="str">
        <f>Labels!B99</f>
        <v>Round A</v>
      </c>
      <c r="D63" s="7" t="str">
        <f>Labels!B100</f>
        <v>Exit</v>
      </c>
      <c r="E63" s="25" t="str">
        <f>Labels!C97</f>
        <v>Total</v>
      </c>
    </row>
    <row r="64" spans="1:5" ht="12.75" hidden="1" customHeight="1" outlineLevel="1" x14ac:dyDescent="0.2">
      <c r="A64" s="11" t="str">
        <f>Labels!B43</f>
        <v>New Investment</v>
      </c>
      <c r="B64" s="26"/>
      <c r="C64" s="26"/>
      <c r="D64" s="26"/>
      <c r="E64" s="27"/>
    </row>
    <row r="65" spans="1:5" ht="12.75" hidden="1" customHeight="1" outlineLevel="1" x14ac:dyDescent="0.2">
      <c r="A65" s="28" t="str">
        <f>"   "&amp;Labels!B107</f>
        <v xml:space="preserve">   Series A</v>
      </c>
      <c r="B65" s="29">
        <f>0</f>
        <v>0</v>
      </c>
      <c r="C65" s="29">
        <f>0</f>
        <v>0</v>
      </c>
      <c r="D65" s="29">
        <f>0</f>
        <v>0</v>
      </c>
      <c r="E65" s="30">
        <f>SUM(B65:D65)</f>
        <v>0</v>
      </c>
    </row>
    <row r="66" spans="1:5" ht="12.75" hidden="1" customHeight="1" outlineLevel="1" x14ac:dyDescent="0.2">
      <c r="A66" s="15" t="str">
        <f>"   "&amp;Labels!C106</f>
        <v xml:space="preserve">   Subtotal</v>
      </c>
      <c r="B66" s="31">
        <f>B65</f>
        <v>0</v>
      </c>
      <c r="C66" s="31">
        <f>C65</f>
        <v>0</v>
      </c>
      <c r="D66" s="31">
        <f>D65</f>
        <v>0</v>
      </c>
      <c r="E66" s="32">
        <f>E65</f>
        <v>0</v>
      </c>
    </row>
    <row r="67" spans="1:5" ht="12.75" hidden="1" customHeight="1" outlineLevel="1" x14ac:dyDescent="0.2"/>
    <row r="68" spans="1:5" ht="12.75" hidden="1" customHeight="1" outlineLevel="1" collapsed="1" x14ac:dyDescent="0.2"/>
    <row r="69" spans="1:5" ht="12.75" customHeight="1" collapsed="1" x14ac:dyDescent="0.2">
      <c r="A69" s="3" t="str">
        <f>"Common Shares"</f>
        <v>Common Shares</v>
      </c>
    </row>
    <row r="70" spans="1:5" ht="12.75" hidden="1" customHeight="1" outlineLevel="1" x14ac:dyDescent="0.2">
      <c r="A70" s="1" t="str">
        <f>" "</f>
        <v xml:space="preserve"> </v>
      </c>
    </row>
    <row r="71" spans="1:5" ht="12.75" hidden="1" customHeight="1" outlineLevel="1" x14ac:dyDescent="0.2">
      <c r="A71" s="4" t="str">
        <f>Labels!B65</f>
        <v>Initial Common Price</v>
      </c>
      <c r="B71" s="43">
        <v>1</v>
      </c>
    </row>
    <row r="72" spans="1:5" ht="12.75" hidden="1" customHeight="1" outlineLevel="1" x14ac:dyDescent="0.2"/>
    <row r="73" spans="1:5" ht="12.75" hidden="1" customHeight="1" outlineLevel="1" x14ac:dyDescent="0.2">
      <c r="B73" s="6" t="str">
        <f>Labels!B98</f>
        <v>Seed</v>
      </c>
      <c r="C73" s="7" t="str">
        <f>Labels!B99</f>
        <v>Round A</v>
      </c>
      <c r="D73" s="8" t="str">
        <f>Labels!B100</f>
        <v>Exit</v>
      </c>
    </row>
    <row r="74" spans="1:5" ht="12.75" hidden="1" customHeight="1" outlineLevel="1" x14ac:dyDescent="0.2">
      <c r="A74" s="4" t="str">
        <f>Labels!B77</f>
        <v>Split Factor</v>
      </c>
      <c r="B74" s="38">
        <f>1</f>
        <v>1</v>
      </c>
      <c r="C74" s="38">
        <f>1</f>
        <v>1</v>
      </c>
      <c r="D74" s="44">
        <f>1</f>
        <v>1</v>
      </c>
    </row>
    <row r="75" spans="1:5" ht="12.75" hidden="1" customHeight="1" outlineLevel="1" x14ac:dyDescent="0.2"/>
    <row r="76" spans="1:5" ht="12.75" hidden="1" customHeight="1" outlineLevel="1" x14ac:dyDescent="0.2">
      <c r="A76" s="4" t="str">
        <f>Labels!B18</f>
        <v>Dividend Common</v>
      </c>
      <c r="B76" s="45">
        <f>0/3</f>
        <v>0</v>
      </c>
      <c r="C76" s="45">
        <f>0/3</f>
        <v>0</v>
      </c>
      <c r="D76" s="45">
        <f>0/3</f>
        <v>0</v>
      </c>
      <c r="E76" s="46">
        <f>SUM(B76:D76)</f>
        <v>0</v>
      </c>
    </row>
    <row r="77" spans="1:5" ht="12.75" hidden="1" customHeight="1" outlineLevel="1" x14ac:dyDescent="0.2"/>
    <row r="78" spans="1:5" ht="12.75" hidden="1" customHeight="1" outlineLevel="1" x14ac:dyDescent="0.2">
      <c r="A78" s="1" t="str">
        <f>"Rates of Return"</f>
        <v>Rates of Return</v>
      </c>
    </row>
    <row r="79" spans="1:5" ht="12.75" hidden="1" customHeight="1" outlineLevel="1" x14ac:dyDescent="0.2">
      <c r="B79" s="6" t="str">
        <f>Labels!B14</f>
        <v>Discount Rate (Yr)</v>
      </c>
      <c r="C79" s="8" t="str">
        <f>Labels!B45</f>
        <v>IRR Initial Guess (Yr)</v>
      </c>
    </row>
    <row r="80" spans="1:5" ht="12.75" hidden="1" customHeight="1" outlineLevel="1" x14ac:dyDescent="0.2">
      <c r="A80" s="4"/>
      <c r="B80" s="41">
        <f>0.3</f>
        <v>0.3</v>
      </c>
      <c r="C80" s="39">
        <f>0.5</f>
        <v>0.5</v>
      </c>
    </row>
    <row r="81" spans="1:5" ht="12.75" hidden="1" customHeight="1" outlineLevel="1" x14ac:dyDescent="0.2"/>
    <row r="82" spans="1:5" ht="12.75" hidden="1" customHeight="1" outlineLevel="1" x14ac:dyDescent="0.2">
      <c r="B82" s="6" t="str">
        <f>Labels!B98</f>
        <v>Seed</v>
      </c>
      <c r="C82" s="7" t="str">
        <f>Labels!B99</f>
        <v>Round A</v>
      </c>
      <c r="D82" s="7" t="str">
        <f>Labels!B100</f>
        <v>Exit</v>
      </c>
      <c r="E82" s="25" t="str">
        <f>Labels!C97</f>
        <v>Total</v>
      </c>
    </row>
    <row r="83" spans="1:5" ht="12.75" hidden="1" customHeight="1" outlineLevel="1" x14ac:dyDescent="0.2">
      <c r="A83" s="4" t="str">
        <f>Labels!B43</f>
        <v>New Investment</v>
      </c>
      <c r="B83" s="40">
        <f>1</f>
        <v>1</v>
      </c>
      <c r="C83" s="40">
        <f>0</f>
        <v>0</v>
      </c>
      <c r="D83" s="40">
        <f>0</f>
        <v>0</v>
      </c>
      <c r="E83" s="47">
        <f>SUM(B83:D83)</f>
        <v>1</v>
      </c>
    </row>
    <row r="84" spans="1:5" ht="12.75" hidden="1" customHeight="1" outlineLevel="1" x14ac:dyDescent="0.2"/>
    <row r="85" spans="1:5" ht="12.75" hidden="1" customHeight="1" outlineLevel="1" collapsed="1" x14ac:dyDescent="0.2"/>
    <row r="86" spans="1:5" ht="12.75" customHeight="1" collapsed="1" x14ac:dyDescent="0.2"/>
    <row r="88" spans="1:5" ht="12.75" customHeight="1" x14ac:dyDescent="0.2">
      <c r="A88" s="2" t="str">
        <f>"Options"</f>
        <v>Options</v>
      </c>
    </row>
    <row r="89" spans="1:5" ht="12.75" hidden="1" customHeight="1" outlineLevel="1" x14ac:dyDescent="0.2">
      <c r="A89" s="1" t="str">
        <f>" "</f>
        <v xml:space="preserve"> </v>
      </c>
    </row>
    <row r="90" spans="1:5" ht="12.75" hidden="1" customHeight="1" outlineLevel="1" x14ac:dyDescent="0.2">
      <c r="A90" s="11" t="str">
        <f>Labels!B69</f>
        <v>New Unit Price %</v>
      </c>
      <c r="B90" s="48"/>
    </row>
    <row r="91" spans="1:5" ht="12.75" hidden="1" customHeight="1" outlineLevel="1" x14ac:dyDescent="0.2">
      <c r="A91" s="28" t="str">
        <f>"   "&amp;Labels!B111</f>
        <v xml:space="preserve">   Series B</v>
      </c>
      <c r="B91" s="49">
        <f>1</f>
        <v>1</v>
      </c>
    </row>
    <row r="92" spans="1:5" ht="12.75" hidden="1" customHeight="1" outlineLevel="1" x14ac:dyDescent="0.2">
      <c r="A92" s="35" t="str">
        <f>"   "&amp;Labels!B112</f>
        <v xml:space="preserve">   Series A</v>
      </c>
      <c r="B92" s="50">
        <f>1</f>
        <v>1</v>
      </c>
    </row>
    <row r="93" spans="1:5" ht="12.75" hidden="1" customHeight="1" outlineLevel="1" x14ac:dyDescent="0.2"/>
    <row r="94" spans="1:5" ht="12.75" hidden="1" customHeight="1" outlineLevel="1" x14ac:dyDescent="0.2">
      <c r="B94" s="6" t="str">
        <f>Labels!B98</f>
        <v>Seed</v>
      </c>
      <c r="C94" s="7" t="str">
        <f>Labels!B99</f>
        <v>Round A</v>
      </c>
      <c r="D94" s="8" t="str">
        <f>Labels!B100</f>
        <v>Exit</v>
      </c>
    </row>
    <row r="95" spans="1:5" ht="12.75" hidden="1" customHeight="1" outlineLevel="1" x14ac:dyDescent="0.2">
      <c r="A95" s="11" t="str">
        <f>Labels!B68</f>
        <v>Price New Unit</v>
      </c>
      <c r="B95" s="51"/>
      <c r="C95" s="51"/>
      <c r="D95" s="52"/>
    </row>
    <row r="96" spans="1:5" ht="12.75" hidden="1" customHeight="1" outlineLevel="1" x14ac:dyDescent="0.2">
      <c r="A96" s="28" t="str">
        <f>"   "&amp;Labels!B111</f>
        <v xml:space="preserve">   Series B</v>
      </c>
      <c r="B96" s="53">
        <f>MAX(0,B91*Prices!B18+B91*(-B101))</f>
        <v>1</v>
      </c>
      <c r="C96" s="53">
        <f>MAX(0,B91*Prices!C18+B91*(-B101))</f>
        <v>1000000</v>
      </c>
      <c r="D96" s="54">
        <f>MAX(0,B91*Prices!D18+B91*(-B101))</f>
        <v>1000000</v>
      </c>
    </row>
    <row r="97" spans="1:6" ht="12.75" hidden="1" customHeight="1" outlineLevel="1" x14ac:dyDescent="0.2">
      <c r="A97" s="35" t="str">
        <f>"   "&amp;Labels!B112</f>
        <v xml:space="preserve">   Series A</v>
      </c>
      <c r="B97" s="55">
        <f>MAX(0,B92*Prices!B18+B92*(-B102))</f>
        <v>1</v>
      </c>
      <c r="C97" s="55">
        <f>MAX(0,B92*Prices!C18+B92*(-B102))</f>
        <v>1000000</v>
      </c>
      <c r="D97" s="56">
        <f>MAX(0,B92*Prices!D18+B92*(-B102))</f>
        <v>1000000</v>
      </c>
    </row>
    <row r="98" spans="1:6" ht="12.75" hidden="1" customHeight="1" outlineLevel="1" x14ac:dyDescent="0.2"/>
    <row r="99" spans="1:6" ht="12.75" hidden="1" customHeight="1" outlineLevel="1" x14ac:dyDescent="0.2">
      <c r="A99" s="1" t="str">
        <f>"Exercise Criteria"</f>
        <v>Exercise Criteria</v>
      </c>
    </row>
    <row r="100" spans="1:6" ht="12.75" hidden="1" customHeight="1" outlineLevel="1" x14ac:dyDescent="0.2">
      <c r="B100" s="6" t="str">
        <f>Labels!B53</f>
        <v>Exercise Price</v>
      </c>
      <c r="C100" s="7" t="str">
        <f>Labels!B9</f>
        <v>Trigger Date</v>
      </c>
      <c r="D100" s="7" t="str">
        <f>Labels!B10</f>
        <v>Trigger Invest</v>
      </c>
      <c r="E100" s="8" t="str">
        <f>Labels!B11</f>
        <v>Trigger Value %</v>
      </c>
    </row>
    <row r="101" spans="1:6" ht="12.75" hidden="1" customHeight="1" outlineLevel="1" x14ac:dyDescent="0.2">
      <c r="A101" s="11" t="str">
        <f>Labels!B111</f>
        <v>Series B</v>
      </c>
      <c r="B101" s="51">
        <f>0</f>
        <v>0</v>
      </c>
      <c r="C101" s="19">
        <f>DATE(2011,4,1)</f>
        <v>40634</v>
      </c>
      <c r="D101" s="20">
        <f>1500000</f>
        <v>1500000</v>
      </c>
      <c r="E101" s="57">
        <f>0.5</f>
        <v>0.5</v>
      </c>
    </row>
    <row r="102" spans="1:6" ht="12.75" hidden="1" customHeight="1" outlineLevel="1" x14ac:dyDescent="0.2">
      <c r="A102" s="15" t="str">
        <f>Labels!B112</f>
        <v>Series A</v>
      </c>
      <c r="B102" s="58">
        <f>0</f>
        <v>0</v>
      </c>
      <c r="C102" s="22">
        <f>DATE(2011,4,1)</f>
        <v>40634</v>
      </c>
      <c r="D102" s="23">
        <f>1500000</f>
        <v>1500000</v>
      </c>
      <c r="E102" s="59">
        <f>0.5</f>
        <v>0.5</v>
      </c>
    </row>
    <row r="103" spans="1:6" ht="12.75" hidden="1" customHeight="1" outlineLevel="1" x14ac:dyDescent="0.2">
      <c r="A103" s="260" t="str">
        <f>"You can edit exercise prices for individual series even though the cells are not shaded."</f>
        <v>You can edit exercise prices for individual series even though the cells are not shaded.</v>
      </c>
      <c r="B103" s="260"/>
      <c r="C103" s="260"/>
      <c r="D103" s="260"/>
      <c r="E103" s="260"/>
      <c r="F103" s="260"/>
    </row>
    <row r="104" spans="1:6" ht="12.75" hidden="1" customHeight="1" outlineLevel="1" x14ac:dyDescent="0.2"/>
    <row r="105" spans="1:6" ht="12.75" hidden="1" customHeight="1" outlineLevel="1" x14ac:dyDescent="0.2">
      <c r="A105" s="1" t="str">
        <f>"Rates of Return"</f>
        <v>Rates of Return</v>
      </c>
    </row>
    <row r="106" spans="1:6" ht="12.75" hidden="1" customHeight="1" outlineLevel="1" x14ac:dyDescent="0.2">
      <c r="B106" s="6" t="str">
        <f>Labels!B14</f>
        <v>Discount Rate (Yr)</v>
      </c>
      <c r="C106" s="8" t="str">
        <f>Labels!B45</f>
        <v>IRR Initial Guess (Yr)</v>
      </c>
    </row>
    <row r="107" spans="1:6" ht="12.75" hidden="1" customHeight="1" outlineLevel="1" x14ac:dyDescent="0.2">
      <c r="A107" s="11" t="str">
        <f>Labels!B111</f>
        <v>Series B</v>
      </c>
      <c r="B107" s="12">
        <f>0.3</f>
        <v>0.3</v>
      </c>
      <c r="C107" s="14">
        <f>0.5</f>
        <v>0.5</v>
      </c>
    </row>
    <row r="108" spans="1:6" ht="12.75" hidden="1" customHeight="1" outlineLevel="1" x14ac:dyDescent="0.2">
      <c r="A108" s="15" t="str">
        <f>Labels!B112</f>
        <v>Series A</v>
      </c>
      <c r="B108" s="16">
        <f>0.3</f>
        <v>0.3</v>
      </c>
      <c r="C108" s="18">
        <f>0.5</f>
        <v>0.5</v>
      </c>
    </row>
    <row r="109" spans="1:6" ht="12.75" hidden="1" customHeight="1" outlineLevel="1" x14ac:dyDescent="0.2"/>
    <row r="110" spans="1:6" ht="12.75" hidden="1" customHeight="1" outlineLevel="1" x14ac:dyDescent="0.2">
      <c r="B110" s="6" t="str">
        <f>Labels!B98</f>
        <v>Seed</v>
      </c>
      <c r="C110" s="7" t="str">
        <f>Labels!B99</f>
        <v>Round A</v>
      </c>
      <c r="D110" s="7" t="str">
        <f>Labels!B100</f>
        <v>Exit</v>
      </c>
      <c r="E110" s="25" t="str">
        <f>Labels!C97</f>
        <v>Total</v>
      </c>
    </row>
    <row r="111" spans="1:6" ht="12.75" hidden="1" customHeight="1" outlineLevel="1" x14ac:dyDescent="0.2">
      <c r="A111" s="11" t="str">
        <f>Labels!B80</f>
        <v>New Units</v>
      </c>
      <c r="B111" s="60"/>
      <c r="C111" s="60"/>
      <c r="D111" s="60"/>
      <c r="E111" s="61"/>
    </row>
    <row r="112" spans="1:6" ht="12.75" hidden="1" customHeight="1" outlineLevel="1" x14ac:dyDescent="0.2">
      <c r="A112" s="28" t="str">
        <f>"   "&amp;Labels!B111</f>
        <v xml:space="preserve">   Series B</v>
      </c>
      <c r="B112" s="62">
        <f t="shared" ref="B112:D113" si="0">0/3/10</f>
        <v>0</v>
      </c>
      <c r="C112" s="62">
        <f t="shared" si="0"/>
        <v>0</v>
      </c>
      <c r="D112" s="62">
        <f t="shared" si="0"/>
        <v>0</v>
      </c>
      <c r="E112" s="63">
        <f>SUM(B112:D112)</f>
        <v>0</v>
      </c>
    </row>
    <row r="113" spans="1:5" ht="12.75" hidden="1" customHeight="1" outlineLevel="1" x14ac:dyDescent="0.2">
      <c r="A113" s="28" t="str">
        <f>"   "&amp;Labels!B112</f>
        <v xml:space="preserve">   Series A</v>
      </c>
      <c r="B113" s="62">
        <f t="shared" si="0"/>
        <v>0</v>
      </c>
      <c r="C113" s="62">
        <f t="shared" si="0"/>
        <v>0</v>
      </c>
      <c r="D113" s="62">
        <f t="shared" si="0"/>
        <v>0</v>
      </c>
      <c r="E113" s="63">
        <f>SUM(B113:D113)</f>
        <v>0</v>
      </c>
    </row>
    <row r="114" spans="1:5" ht="12.75" hidden="1" customHeight="1" outlineLevel="1" x14ac:dyDescent="0.2">
      <c r="A114" s="15" t="str">
        <f>"   "&amp;Labels!C110</f>
        <v xml:space="preserve">   Subtotal</v>
      </c>
      <c r="B114" s="64">
        <f>SUM(B112:B113)</f>
        <v>0</v>
      </c>
      <c r="C114" s="64">
        <f>SUM(C112:C113)</f>
        <v>0</v>
      </c>
      <c r="D114" s="64">
        <f>SUM(D112:D113)</f>
        <v>0</v>
      </c>
      <c r="E114" s="65">
        <f>SUM(E112:E113)</f>
        <v>0</v>
      </c>
    </row>
    <row r="115" spans="1:5" ht="12.75" hidden="1" customHeight="1" outlineLevel="1" x14ac:dyDescent="0.2"/>
    <row r="116" spans="1:5" ht="12.75" hidden="1" customHeight="1" outlineLevel="1" collapsed="1" x14ac:dyDescent="0.2"/>
    <row r="117" spans="1:5" ht="12.75" customHeight="1" collapsed="1" x14ac:dyDescent="0.2"/>
    <row r="118" spans="1:5" ht="12.75" customHeight="1" x14ac:dyDescent="0.2">
      <c r="A118" s="2" t="str">
        <f>"Firm Value"</f>
        <v>Firm Value</v>
      </c>
    </row>
    <row r="119" spans="1:5" ht="12.75" hidden="1" customHeight="1" outlineLevel="1" x14ac:dyDescent="0.2">
      <c r="A119" s="1" t="str">
        <f>" "</f>
        <v xml:space="preserve"> </v>
      </c>
    </row>
    <row r="120" spans="1:5" ht="12.75" hidden="1" customHeight="1" outlineLevel="1" x14ac:dyDescent="0.2">
      <c r="A120" s="11" t="str">
        <f>Labels!B25</f>
        <v>Firm Value</v>
      </c>
      <c r="B120" s="27"/>
    </row>
    <row r="121" spans="1:5" ht="12.75" hidden="1" customHeight="1" outlineLevel="1" x14ac:dyDescent="0.2">
      <c r="A121" s="28" t="str">
        <f>"   "&amp;Labels!B98</f>
        <v xml:space="preserve">   Seed</v>
      </c>
      <c r="B121" s="66">
        <f>1000000</f>
        <v>1000000</v>
      </c>
    </row>
    <row r="122" spans="1:5" ht="12.75" hidden="1" customHeight="1" outlineLevel="1" x14ac:dyDescent="0.2">
      <c r="A122" s="28" t="str">
        <f>"   "&amp;Labels!B99</f>
        <v xml:space="preserve">   Round A</v>
      </c>
      <c r="B122" s="66">
        <f>1000000</f>
        <v>1000000</v>
      </c>
    </row>
    <row r="123" spans="1:5" ht="12.75" hidden="1" customHeight="1" outlineLevel="1" x14ac:dyDescent="0.2">
      <c r="A123" s="35" t="str">
        <f>"   "&amp;Labels!B100</f>
        <v xml:space="preserve">   Exit</v>
      </c>
      <c r="B123" s="67">
        <f>1000000</f>
        <v>1000000</v>
      </c>
    </row>
    <row r="124" spans="1:5" ht="12.75" hidden="1" customHeight="1" outlineLevel="1" x14ac:dyDescent="0.2"/>
    <row r="125" spans="1:5" ht="12.75" hidden="1" customHeight="1" outlineLevel="1" collapsed="1" x14ac:dyDescent="0.2"/>
    <row r="126" spans="1:5" ht="12.75" customHeight="1" collapsed="1" x14ac:dyDescent="0.2"/>
  </sheetData>
  <mergeCells count="9">
    <mergeCell ref="A7:E7"/>
    <mergeCell ref="A15:F15"/>
    <mergeCell ref="A103:F103"/>
    <mergeCell ref="A1:D1"/>
    <mergeCell ref="A2:D2"/>
    <mergeCell ref="A3:D3"/>
    <mergeCell ref="A4:D4"/>
    <mergeCell ref="A5:D5"/>
    <mergeCell ref="A6:E6"/>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F305"/>
  <sheetViews>
    <sheetView zoomScaleNormal="100" workbookViewId="0"/>
  </sheetViews>
  <sheetFormatPr defaultRowHeight="12.75" customHeight="1" outlineLevelRow="1" x14ac:dyDescent="0.2"/>
  <cols>
    <col min="1" max="1" width="25.7109375" customWidth="1"/>
    <col min="2" max="2" width="21.140625" customWidth="1"/>
    <col min="3" max="3" width="17.7109375" customWidth="1"/>
    <col min="4" max="4" width="17.5703125" customWidth="1"/>
    <col min="5" max="5" width="18.28515625" customWidth="1"/>
    <col min="6" max="6" width="14.85546875" customWidth="1"/>
  </cols>
  <sheetData>
    <row r="1" spans="1:6" ht="12.75" customHeight="1" x14ac:dyDescent="0.2">
      <c r="A1" s="261" t="str">
        <f>"Capitalization Table"</f>
        <v>Capitalization Table</v>
      </c>
      <c r="B1" s="261"/>
      <c r="C1" s="261"/>
      <c r="D1" s="261"/>
    </row>
    <row r="2" spans="1:6" ht="12.75" customHeight="1" x14ac:dyDescent="0.2">
      <c r="A2" s="261" t="str">
        <f>Inputs!B8</f>
        <v>ABC Corp.</v>
      </c>
      <c r="B2" s="261"/>
      <c r="C2" s="261"/>
      <c r="D2" s="261"/>
    </row>
    <row r="3" spans="1:6" ht="12.75" customHeight="1" x14ac:dyDescent="0.2">
      <c r="A3" s="261" t="str">
        <f>IF("Investment"="(Default Input)","Ignore this sheet in normal use.","Investment Scenario "&amp;1&amp;", Valuation Scenario "&amp;1)</f>
        <v>Investment Scenario 1, Valuation Scenario 1</v>
      </c>
      <c r="B3" s="261"/>
      <c r="C3" s="261"/>
      <c r="D3" s="261"/>
    </row>
    <row r="4" spans="1:6" ht="12.75" customHeight="1" x14ac:dyDescent="0.2">
      <c r="A4" s="261" t="str">
        <f>"Investment"</f>
        <v>Investment</v>
      </c>
      <c r="B4" s="261"/>
      <c r="C4" s="261"/>
      <c r="D4" s="261"/>
    </row>
    <row r="5" spans="1:6" ht="12.75" customHeight="1" x14ac:dyDescent="0.2">
      <c r="A5" s="261" t="str">
        <f>""</f>
        <v/>
      </c>
      <c r="B5" s="261"/>
      <c r="C5" s="261"/>
      <c r="D5" s="261"/>
    </row>
    <row r="6" spans="1:6" ht="12.75" customHeight="1" x14ac:dyDescent="0.2">
      <c r="A6" s="262" t="str">
        <f>"Return on Investment"</f>
        <v>Return on Investment</v>
      </c>
      <c r="B6" s="262"/>
    </row>
    <row r="7" spans="1:6" ht="12.75" hidden="1" customHeight="1" outlineLevel="1" x14ac:dyDescent="0.2">
      <c r="A7" s="1" t="str">
        <f>" "</f>
        <v xml:space="preserve"> </v>
      </c>
    </row>
    <row r="8" spans="1:6" ht="12.75" hidden="1" customHeight="1" outlineLevel="1" x14ac:dyDescent="0.2">
      <c r="A8" s="263" t="str">
        <f>"Investment and Payout"</f>
        <v>Investment and Payout</v>
      </c>
      <c r="B8" s="263"/>
    </row>
    <row r="9" spans="1:6" ht="12.75" hidden="1" customHeight="1" outlineLevel="1" x14ac:dyDescent="0.2">
      <c r="A9" s="263" t="str">
        <f>""</f>
        <v/>
      </c>
      <c r="B9" s="263"/>
    </row>
    <row r="10" spans="1:6" ht="12.75" hidden="1" customHeight="1" outlineLevel="1" x14ac:dyDescent="0.2">
      <c r="B10" s="6" t="str">
        <f>Labels!B29</f>
        <v>Invest by Origin ex-Div</v>
      </c>
      <c r="C10" s="7" t="str">
        <f>Labels!B17</f>
        <v>Dividend by Origin</v>
      </c>
      <c r="D10" s="7" t="str">
        <f>Labels!B56</f>
        <v>Payout by Origin</v>
      </c>
      <c r="E10" s="7" t="str">
        <f>Labels!B58</f>
        <v>Payout by Origin %</v>
      </c>
      <c r="F10" s="8" t="str">
        <f>Labels!B71</f>
        <v>Return Multiple</v>
      </c>
    </row>
    <row r="11" spans="1:6" ht="12.75" hidden="1" customHeight="1" outlineLevel="1" x14ac:dyDescent="0.2">
      <c r="A11" s="11" t="str">
        <f>Labels!B103</f>
        <v>Conv Note</v>
      </c>
      <c r="B11" s="26"/>
      <c r="C11" s="26"/>
      <c r="D11" s="26"/>
      <c r="E11" s="68"/>
      <c r="F11" s="69"/>
    </row>
    <row r="12" spans="1:6" ht="12.75" hidden="1" customHeight="1" outlineLevel="1" x14ac:dyDescent="0.2">
      <c r="A12" s="28" t="str">
        <f>"   "&amp;Labels!B104</f>
        <v xml:space="preserve">   Series B</v>
      </c>
      <c r="B12" s="70">
        <f>D190</f>
        <v>0</v>
      </c>
      <c r="C12" s="70">
        <f>'(Other Variables)'!D246</f>
        <v>0</v>
      </c>
      <c r="D12" s="70">
        <f>'(Other Variables)'!D274</f>
        <v>0</v>
      </c>
      <c r="E12" s="71">
        <f>'(Other Variables)'!D306</f>
        <v>0</v>
      </c>
      <c r="F12" s="72">
        <f>IF(D190+0*0=0,0,('(Other Variables)'!D274+SUM(B290:D290))/(D190+0*0))</f>
        <v>0</v>
      </c>
    </row>
    <row r="13" spans="1:6" ht="12.75" hidden="1" customHeight="1" outlineLevel="1" x14ac:dyDescent="0.2">
      <c r="A13" s="28" t="str">
        <f>"   "&amp;Labels!B105</f>
        <v xml:space="preserve">   Series A</v>
      </c>
      <c r="B13" s="70">
        <f>D191</f>
        <v>0</v>
      </c>
      <c r="C13" s="70">
        <f>'(Other Variables)'!D247</f>
        <v>0</v>
      </c>
      <c r="D13" s="70">
        <f>'(Other Variables)'!D275</f>
        <v>0</v>
      </c>
      <c r="E13" s="71">
        <f>'(Other Variables)'!D307</f>
        <v>0</v>
      </c>
      <c r="F13" s="72">
        <f>IF(D191+0*0=0,0,('(Other Variables)'!D275+SUM(B291:D291))/(D191+0*0))</f>
        <v>0</v>
      </c>
    </row>
    <row r="14" spans="1:6" ht="12.75" hidden="1" customHeight="1" outlineLevel="1" x14ac:dyDescent="0.2">
      <c r="A14" s="73" t="str">
        <f>"   "&amp;Labels!C103</f>
        <v xml:space="preserve">   Subtotal</v>
      </c>
      <c r="B14" s="74">
        <f>SUM(B12:B13)</f>
        <v>0</v>
      </c>
      <c r="C14" s="74">
        <f>SUM(C12:C13)</f>
        <v>0</v>
      </c>
      <c r="D14" s="74">
        <f>'(Other Variables)'!D276</f>
        <v>0</v>
      </c>
      <c r="E14" s="75">
        <f>'(Other Variables)'!D308</f>
        <v>0</v>
      </c>
      <c r="F14" s="76">
        <f>IF(D192+0*0=0,0,('(Other Variables)'!D276+SUM(B292:D292))/(D192+0*0))</f>
        <v>0</v>
      </c>
    </row>
    <row r="15" spans="1:6" ht="12.75" hidden="1" customHeight="1" outlineLevel="1" x14ac:dyDescent="0.2">
      <c r="A15" s="73" t="str">
        <f>Labels!B106</f>
        <v>Preferred</v>
      </c>
      <c r="B15" s="74"/>
      <c r="C15" s="74"/>
      <c r="D15" s="74"/>
      <c r="E15" s="75"/>
      <c r="F15" s="76"/>
    </row>
    <row r="16" spans="1:6" ht="12.75" hidden="1" customHeight="1" outlineLevel="1" x14ac:dyDescent="0.2">
      <c r="A16" s="28" t="str">
        <f>"   "&amp;Labels!B107</f>
        <v xml:space="preserve">   Series A</v>
      </c>
      <c r="B16" s="70">
        <f>D194</f>
        <v>0</v>
      </c>
      <c r="C16" s="70">
        <f>'(Other Variables)'!D250</f>
        <v>0</v>
      </c>
      <c r="D16" s="70">
        <f>'(Other Variables)'!D278</f>
        <v>0</v>
      </c>
      <c r="E16" s="71">
        <f>'(Other Variables)'!D310</f>
        <v>0</v>
      </c>
      <c r="F16" s="72">
        <f>IF(D194+0*0=0,0,('(Other Variables)'!D278+SUM(B294:D294))/(D194+0*0))</f>
        <v>0</v>
      </c>
    </row>
    <row r="17" spans="1:6" ht="12.75" hidden="1" customHeight="1" outlineLevel="1" x14ac:dyDescent="0.2">
      <c r="A17" s="73" t="str">
        <f>"   "&amp;Labels!C106</f>
        <v xml:space="preserve">   Subtotal</v>
      </c>
      <c r="B17" s="74">
        <f>B16</f>
        <v>0</v>
      </c>
      <c r="C17" s="74">
        <f>C16</f>
        <v>0</v>
      </c>
      <c r="D17" s="74">
        <f>'(Other Variables)'!D279</f>
        <v>0</v>
      </c>
      <c r="E17" s="75">
        <f>'(Other Variables)'!D311</f>
        <v>0</v>
      </c>
      <c r="F17" s="76">
        <f>IF(D195+0*0=0,0,('(Other Variables)'!D279+SUM(B295:D295))/(D195+0*0))</f>
        <v>0</v>
      </c>
    </row>
    <row r="18" spans="1:6" ht="12.75" hidden="1" customHeight="1" outlineLevel="1" x14ac:dyDescent="0.2">
      <c r="A18" s="73" t="str">
        <f>Labels!B108</f>
        <v>Common</v>
      </c>
      <c r="B18" s="74">
        <f>D196</f>
        <v>1</v>
      </c>
      <c r="C18" s="74">
        <f>'(Other Variables)'!D252</f>
        <v>0</v>
      </c>
      <c r="D18" s="74">
        <f>'(Other Variables)'!D280</f>
        <v>1000000</v>
      </c>
      <c r="E18" s="75">
        <f>'(Other Variables)'!D312</f>
        <v>1</v>
      </c>
      <c r="F18" s="76">
        <f>IF(D196+0*0=0,0,('(Other Variables)'!D280+SUM(B296:D296))/(D196+0*0))</f>
        <v>1000000</v>
      </c>
    </row>
    <row r="19" spans="1:6" ht="12.75" hidden="1" customHeight="1" outlineLevel="1" x14ac:dyDescent="0.2">
      <c r="A19" s="73" t="str">
        <f>Labels!B109</f>
        <v>Warrant</v>
      </c>
      <c r="B19" s="74">
        <f>D197</f>
        <v>0</v>
      </c>
      <c r="C19" s="74">
        <f>'(Other Variables)'!D253</f>
        <v>0</v>
      </c>
      <c r="D19" s="74">
        <f>'(Other Variables)'!D281</f>
        <v>0</v>
      </c>
      <c r="E19" s="75">
        <f>'(Other Variables)'!D313</f>
        <v>0</v>
      </c>
      <c r="F19" s="76">
        <f>IF(D197+0*0=0,0,('(Other Variables)'!D281+SUM(B297:D297))/(D197+0*0))</f>
        <v>0</v>
      </c>
    </row>
    <row r="20" spans="1:6" ht="12.75" hidden="1" customHeight="1" outlineLevel="1" x14ac:dyDescent="0.2">
      <c r="A20" s="73" t="str">
        <f>Labels!B110</f>
        <v>Option</v>
      </c>
      <c r="B20" s="74"/>
      <c r="C20" s="74"/>
      <c r="D20" s="74"/>
      <c r="E20" s="75"/>
      <c r="F20" s="76"/>
    </row>
    <row r="21" spans="1:6" ht="12.75" hidden="1" customHeight="1" outlineLevel="1" x14ac:dyDescent="0.2">
      <c r="A21" s="28" t="str">
        <f>"   "&amp;Labels!B111</f>
        <v xml:space="preserve">   Series B</v>
      </c>
      <c r="B21" s="70">
        <f>D199</f>
        <v>0</v>
      </c>
      <c r="C21" s="70">
        <f>'(Other Variables)'!D255</f>
        <v>0</v>
      </c>
      <c r="D21" s="70">
        <f>'(Other Variables)'!D283</f>
        <v>0</v>
      </c>
      <c r="E21" s="71">
        <f>'(Other Variables)'!D315</f>
        <v>0</v>
      </c>
      <c r="F21" s="72">
        <f>IF(D199+0*0=0,0,('(Other Variables)'!D283+SUM(B299:D299))/(D199+0*0))</f>
        <v>0</v>
      </c>
    </row>
    <row r="22" spans="1:6" ht="12.75" hidden="1" customHeight="1" outlineLevel="1" x14ac:dyDescent="0.2">
      <c r="A22" s="28" t="str">
        <f>"   "&amp;Labels!B112</f>
        <v xml:space="preserve">   Series A</v>
      </c>
      <c r="B22" s="70">
        <f>D200</f>
        <v>0</v>
      </c>
      <c r="C22" s="70">
        <f>'(Other Variables)'!D256</f>
        <v>0</v>
      </c>
      <c r="D22" s="70">
        <f>'(Other Variables)'!D284</f>
        <v>0</v>
      </c>
      <c r="E22" s="71">
        <f>'(Other Variables)'!D316</f>
        <v>0</v>
      </c>
      <c r="F22" s="72">
        <f>IF(D200+0*0=0,0,('(Other Variables)'!D284+SUM(B300:D300))/(D200+0*0))</f>
        <v>0</v>
      </c>
    </row>
    <row r="23" spans="1:6" ht="12.75" hidden="1" customHeight="1" outlineLevel="1" x14ac:dyDescent="0.2">
      <c r="A23" s="73" t="str">
        <f>"   "&amp;Labels!C110</f>
        <v xml:space="preserve">   Subtotal</v>
      </c>
      <c r="B23" s="74">
        <f>SUM(B21:B22)</f>
        <v>0</v>
      </c>
      <c r="C23" s="74">
        <f>SUM(C21:C22)</f>
        <v>0</v>
      </c>
      <c r="D23" s="74">
        <f>'(Other Variables)'!D285</f>
        <v>0</v>
      </c>
      <c r="E23" s="75">
        <f>'(Other Variables)'!D317</f>
        <v>0</v>
      </c>
      <c r="F23" s="76">
        <f>IF(D201+0*0=0,0,('(Other Variables)'!D285+SUM(B301:D301))/(D201+0*0))</f>
        <v>0</v>
      </c>
    </row>
    <row r="24" spans="1:6" ht="12.75" hidden="1" customHeight="1" outlineLevel="1" x14ac:dyDescent="0.2">
      <c r="A24" s="4" t="str">
        <f>Labels!C102</f>
        <v>Total</v>
      </c>
      <c r="B24" s="77">
        <f>SUM(B14,B17:B19,B23)</f>
        <v>1</v>
      </c>
      <c r="C24" s="77">
        <f>SUM(C14,C17:C19,C23)</f>
        <v>0</v>
      </c>
      <c r="D24" s="77">
        <f>'(Other Variables)'!D286</f>
        <v>1000000</v>
      </c>
      <c r="E24" s="78">
        <f>'(Other Variables)'!D318</f>
        <v>1</v>
      </c>
      <c r="F24" s="79">
        <f>IF(D202+0*0=0,0,('(Other Variables)'!D286+SUM(B302:D302))/(D202+0*0))</f>
        <v>1000000</v>
      </c>
    </row>
    <row r="25" spans="1:6" ht="12.75" hidden="1" customHeight="1" outlineLevel="1" x14ac:dyDescent="0.2"/>
    <row r="26" spans="1:6" ht="12.75" hidden="1" customHeight="1" outlineLevel="1" x14ac:dyDescent="0.2"/>
    <row r="27" spans="1:6" ht="12.75" hidden="1" customHeight="1" outlineLevel="1" x14ac:dyDescent="0.2">
      <c r="A27" s="263" t="str">
        <f>"Measures of Return"</f>
        <v>Measures of Return</v>
      </c>
      <c r="B27" s="263"/>
    </row>
    <row r="28" spans="1:6" ht="12.75" hidden="1" customHeight="1" outlineLevel="1" x14ac:dyDescent="0.2">
      <c r="A28" s="263" t="str">
        <f>""</f>
        <v/>
      </c>
      <c r="B28" s="263"/>
    </row>
    <row r="29" spans="1:6" ht="12.75" hidden="1" customHeight="1" outlineLevel="1" x14ac:dyDescent="0.2">
      <c r="B29" s="6" t="str">
        <f>Labels!B46</f>
        <v>IRR (Yr)</v>
      </c>
      <c r="C29" s="7" t="str">
        <f>Labels!B51</f>
        <v>Net Present Value</v>
      </c>
      <c r="D29" s="8" t="str">
        <f>Labels!B14</f>
        <v>Discount Rate (Yr)</v>
      </c>
    </row>
    <row r="30" spans="1:6" ht="12.75" hidden="1" customHeight="1" outlineLevel="1" x14ac:dyDescent="0.2">
      <c r="A30" s="11" t="str">
        <f>Labels!B103</f>
        <v>Conv Note</v>
      </c>
      <c r="B30" s="80"/>
      <c r="C30" s="26"/>
      <c r="D30" s="81"/>
    </row>
    <row r="31" spans="1:6" ht="12.75" hidden="1" customHeight="1" outlineLevel="1" x14ac:dyDescent="0.2">
      <c r="A31" s="28" t="str">
        <f>"   "&amp;Labels!B104</f>
        <v xml:space="preserve">   Series B</v>
      </c>
      <c r="B31" s="82" t="e">
        <f>XIRR('(Other Variables)'!B322:D322,B209:D209,Inputs!C33)</f>
        <v>#NUM!</v>
      </c>
      <c r="C31" s="70">
        <f>(-XNPV(D31,'(Other Variables)'!B322:D322,B209:D209))</f>
        <v>0</v>
      </c>
      <c r="D31" s="83">
        <f>Inputs!B33</f>
        <v>0.3</v>
      </c>
    </row>
    <row r="32" spans="1:6" ht="12.75" hidden="1" customHeight="1" outlineLevel="1" x14ac:dyDescent="0.2">
      <c r="A32" s="28" t="str">
        <f>"   "&amp;Labels!B105</f>
        <v xml:space="preserve">   Series A</v>
      </c>
      <c r="B32" s="82" t="e">
        <f>XIRR('(Other Variables)'!B323:D323,B209:D209,Inputs!C34)</f>
        <v>#NUM!</v>
      </c>
      <c r="C32" s="70">
        <f>(-XNPV(D32,'(Other Variables)'!B323:D323,B209:D209))</f>
        <v>0</v>
      </c>
      <c r="D32" s="83">
        <f>Inputs!B34</f>
        <v>0.3</v>
      </c>
    </row>
    <row r="33" spans="1:4" ht="12.75" hidden="1" customHeight="1" outlineLevel="1" x14ac:dyDescent="0.2">
      <c r="A33" s="73" t="str">
        <f>"   "&amp;Labels!C103</f>
        <v xml:space="preserve">   Subtotal</v>
      </c>
      <c r="B33" s="84" t="e">
        <f>XIRR('(Other Variables)'!B324:D324,B209:D209,Boneyard!B82)</f>
        <v>#NUM!</v>
      </c>
      <c r="C33" s="74">
        <f>SUM(C31:C32)</f>
        <v>0</v>
      </c>
      <c r="D33" s="85" t="str">
        <f>" "</f>
        <v xml:space="preserve"> </v>
      </c>
    </row>
    <row r="34" spans="1:4" ht="12.75" hidden="1" customHeight="1" outlineLevel="1" x14ac:dyDescent="0.2">
      <c r="A34" s="73" t="str">
        <f>Labels!B106</f>
        <v>Preferred</v>
      </c>
      <c r="B34" s="84"/>
      <c r="C34" s="74"/>
      <c r="D34" s="85"/>
    </row>
    <row r="35" spans="1:4" ht="12.75" hidden="1" customHeight="1" outlineLevel="1" x14ac:dyDescent="0.2">
      <c r="A35" s="28" t="str">
        <f>"   "&amp;Labels!B107</f>
        <v xml:space="preserve">   Series A</v>
      </c>
      <c r="B35" s="82" t="e">
        <f>XIRR('(Other Variables)'!B326:D326,B209:D209,Inputs!C61)</f>
        <v>#NUM!</v>
      </c>
      <c r="C35" s="70">
        <f>(-XNPV(D35,'(Other Variables)'!B326:D326,B209:D209))</f>
        <v>0</v>
      </c>
      <c r="D35" s="83">
        <f>Inputs!B61</f>
        <v>0.3</v>
      </c>
    </row>
    <row r="36" spans="1:4" ht="12.75" hidden="1" customHeight="1" outlineLevel="1" x14ac:dyDescent="0.2">
      <c r="A36" s="73" t="str">
        <f>"   "&amp;Labels!C106</f>
        <v xml:space="preserve">   Subtotal</v>
      </c>
      <c r="B36" s="84" t="e">
        <f>XIRR('(Other Variables)'!B327:D327,B209:D209,Boneyard!B85)</f>
        <v>#NUM!</v>
      </c>
      <c r="C36" s="74">
        <f>C35</f>
        <v>0</v>
      </c>
      <c r="D36" s="85" t="str">
        <f>" "</f>
        <v xml:space="preserve"> </v>
      </c>
    </row>
    <row r="37" spans="1:4" ht="12.75" hidden="1" customHeight="1" outlineLevel="1" x14ac:dyDescent="0.2">
      <c r="A37" s="73" t="str">
        <f>Labels!B108</f>
        <v>Common</v>
      </c>
      <c r="B37" s="84">
        <f>XIRR('(Other Variables)'!B328:D328,B209:D209,Inputs!C80)</f>
        <v>1855.3365631103516</v>
      </c>
      <c r="C37" s="74">
        <f>(-XNPV(D37,'(Other Variables)'!B328:D328,B209:D209))</f>
        <v>617793.03319526685</v>
      </c>
      <c r="D37" s="85">
        <f>Inputs!B80</f>
        <v>0.3</v>
      </c>
    </row>
    <row r="38" spans="1:4" ht="12.75" hidden="1" customHeight="1" outlineLevel="1" x14ac:dyDescent="0.2">
      <c r="A38" s="73" t="str">
        <f>Labels!B109</f>
        <v>Warrant</v>
      </c>
      <c r="B38" s="84" t="e">
        <f>XIRR('(Other Variables)'!B329:D329,B209:D209,Boneyard!B87)</f>
        <v>#NUM!</v>
      </c>
      <c r="C38" s="74">
        <f>(-XNPV(D38,'(Other Variables)'!B329:D329,B209:D209))</f>
        <v>0</v>
      </c>
      <c r="D38" s="86">
        <f>0.3</f>
        <v>0.3</v>
      </c>
    </row>
    <row r="39" spans="1:4" ht="12.75" hidden="1" customHeight="1" outlineLevel="1" x14ac:dyDescent="0.2">
      <c r="A39" s="73" t="str">
        <f>Labels!B110</f>
        <v>Option</v>
      </c>
      <c r="B39" s="84"/>
      <c r="C39" s="74"/>
      <c r="D39" s="85"/>
    </row>
    <row r="40" spans="1:4" ht="12.75" hidden="1" customHeight="1" outlineLevel="1" x14ac:dyDescent="0.2">
      <c r="A40" s="28" t="str">
        <f>"   "&amp;Labels!B111</f>
        <v xml:space="preserve">   Series B</v>
      </c>
      <c r="B40" s="82" t="e">
        <f>XIRR('(Other Variables)'!B331:D331,B209:D209,Inputs!C107)</f>
        <v>#NUM!</v>
      </c>
      <c r="C40" s="70">
        <f>(-XNPV(D40,'(Other Variables)'!B331:D331,B209:D209))</f>
        <v>0</v>
      </c>
      <c r="D40" s="83">
        <f>Inputs!B107</f>
        <v>0.3</v>
      </c>
    </row>
    <row r="41" spans="1:4" ht="12.75" hidden="1" customHeight="1" outlineLevel="1" x14ac:dyDescent="0.2">
      <c r="A41" s="28" t="str">
        <f>"   "&amp;Labels!B112</f>
        <v xml:space="preserve">   Series A</v>
      </c>
      <c r="B41" s="82" t="e">
        <f>XIRR('(Other Variables)'!B332:D332,B209:D209,Inputs!C108)</f>
        <v>#NUM!</v>
      </c>
      <c r="C41" s="70">
        <f>(-XNPV(D41,'(Other Variables)'!B332:D332,B209:D209))</f>
        <v>0</v>
      </c>
      <c r="D41" s="83">
        <f>Inputs!B108</f>
        <v>0.3</v>
      </c>
    </row>
    <row r="42" spans="1:4" ht="12.75" hidden="1" customHeight="1" outlineLevel="1" x14ac:dyDescent="0.2">
      <c r="A42" s="73" t="str">
        <f>"   "&amp;Labels!C110</f>
        <v xml:space="preserve">   Subtotal</v>
      </c>
      <c r="B42" s="84" t="e">
        <f>XIRR('(Other Variables)'!B333:D333,B209:D209,Boneyard!B91)</f>
        <v>#NUM!</v>
      </c>
      <c r="C42" s="74">
        <f>SUM(C40:C41)</f>
        <v>0</v>
      </c>
      <c r="D42" s="85" t="str">
        <f>" "</f>
        <v xml:space="preserve"> </v>
      </c>
    </row>
    <row r="43" spans="1:4" ht="12.75" hidden="1" customHeight="1" outlineLevel="1" x14ac:dyDescent="0.2">
      <c r="A43" s="4" t="str">
        <f>Labels!C102</f>
        <v>Total</v>
      </c>
      <c r="B43" s="87">
        <f>XIRR('(Other Variables)'!B334:D334,B209:D209,Boneyard!B92)</f>
        <v>1855.3365631103516</v>
      </c>
      <c r="C43" s="77">
        <f>SUM(C33,C36:C38,C42)</f>
        <v>617793.03319526685</v>
      </c>
      <c r="D43" s="88" t="str">
        <f>" "</f>
        <v xml:space="preserve"> </v>
      </c>
    </row>
    <row r="44" spans="1:4" ht="12.75" hidden="1" customHeight="1" outlineLevel="1" x14ac:dyDescent="0.2"/>
    <row r="45" spans="1:4" ht="12.75" hidden="1" customHeight="1" outlineLevel="1" collapsed="1" x14ac:dyDescent="0.2"/>
    <row r="46" spans="1:4" ht="12.75" customHeight="1" collapsed="1" x14ac:dyDescent="0.2"/>
    <row r="47" spans="1:4" ht="12.75" customHeight="1" x14ac:dyDescent="0.2">
      <c r="A47" s="262" t="str">
        <f>"Investment by Origin"</f>
        <v>Investment by Origin</v>
      </c>
      <c r="B47" s="262"/>
    </row>
    <row r="48" spans="1:4" ht="12.75" hidden="1" customHeight="1" outlineLevel="1" x14ac:dyDescent="0.2">
      <c r="A48" s="1" t="str">
        <f>" "</f>
        <v xml:space="preserve"> </v>
      </c>
    </row>
    <row r="49" spans="1:5" ht="12.75" hidden="1" customHeight="1" outlineLevel="1" x14ac:dyDescent="0.2">
      <c r="B49" s="6" t="str">
        <f>Labels!B98</f>
        <v>Seed</v>
      </c>
      <c r="C49" s="7" t="str">
        <f>Labels!B99</f>
        <v>Round A</v>
      </c>
      <c r="D49" s="7" t="str">
        <f>Labels!B100</f>
        <v>Exit</v>
      </c>
      <c r="E49" s="25" t="str">
        <f>Labels!C97</f>
        <v>Total</v>
      </c>
    </row>
    <row r="50" spans="1:5" ht="12.75" hidden="1" customHeight="1" outlineLevel="1" x14ac:dyDescent="0.2">
      <c r="A50" s="11" t="str">
        <f>Labels!B38</f>
        <v>Investment by Origin</v>
      </c>
      <c r="B50" s="26"/>
      <c r="C50" s="26"/>
      <c r="D50" s="26"/>
      <c r="E50" s="27"/>
    </row>
    <row r="51" spans="1:5" ht="12.75" hidden="1" customHeight="1" outlineLevel="1" x14ac:dyDescent="0.2">
      <c r="A51" s="28" t="str">
        <f>"   "&amp;Labels!B91</f>
        <v xml:space="preserve">   Start</v>
      </c>
      <c r="B51" s="70"/>
      <c r="C51" s="70"/>
      <c r="D51" s="70"/>
      <c r="E51" s="30"/>
    </row>
    <row r="52" spans="1:5" ht="12.75" hidden="1" customHeight="1" outlineLevel="1" x14ac:dyDescent="0.2">
      <c r="A52" s="89" t="str">
        <f>"      "&amp;Labels!B103</f>
        <v xml:space="preserve">      Conv Note</v>
      </c>
      <c r="B52" s="90"/>
      <c r="C52" s="90"/>
      <c r="D52" s="90"/>
      <c r="E52" s="30"/>
    </row>
    <row r="53" spans="1:5" ht="12.75" hidden="1" customHeight="1" outlineLevel="1" x14ac:dyDescent="0.2">
      <c r="A53" s="89" t="str">
        <f>"         "&amp;Labels!B104</f>
        <v xml:space="preserve">         Series B</v>
      </c>
      <c r="B53" s="91">
        <f>0+B290</f>
        <v>0</v>
      </c>
      <c r="C53" s="91">
        <f>B113+C290</f>
        <v>0</v>
      </c>
      <c r="D53" s="91">
        <f>C113+D290</f>
        <v>0</v>
      </c>
      <c r="E53" s="30">
        <f>SUM(B53:D53)</f>
        <v>0</v>
      </c>
    </row>
    <row r="54" spans="1:5" ht="12.75" hidden="1" customHeight="1" outlineLevel="1" x14ac:dyDescent="0.2">
      <c r="A54" s="89" t="str">
        <f>"         "&amp;Labels!B105</f>
        <v xml:space="preserve">         Series A</v>
      </c>
      <c r="B54" s="91">
        <f>0+B291</f>
        <v>0</v>
      </c>
      <c r="C54" s="91">
        <f>B114+C291</f>
        <v>0</v>
      </c>
      <c r="D54" s="91">
        <f>C114+D291</f>
        <v>0</v>
      </c>
      <c r="E54" s="30">
        <f>SUM(B54:D54)</f>
        <v>0</v>
      </c>
    </row>
    <row r="55" spans="1:5" ht="12.75" hidden="1" customHeight="1" outlineLevel="1" x14ac:dyDescent="0.2">
      <c r="A55" s="89" t="str">
        <f>"         "&amp;Labels!C103</f>
        <v xml:space="preserve">         Subtotal</v>
      </c>
      <c r="B55" s="90">
        <f>SUM(B53:B54)</f>
        <v>0</v>
      </c>
      <c r="C55" s="90">
        <f>SUM(C53:C54)</f>
        <v>0</v>
      </c>
      <c r="D55" s="90">
        <f>SUM(D53:D54)</f>
        <v>0</v>
      </c>
      <c r="E55" s="30">
        <f>SUM(E53:E54)</f>
        <v>0</v>
      </c>
    </row>
    <row r="56" spans="1:5" ht="12.75" hidden="1" customHeight="1" outlineLevel="1" x14ac:dyDescent="0.2">
      <c r="A56" s="89" t="str">
        <f>"      "&amp;Labels!B106</f>
        <v xml:space="preserve">      Preferred</v>
      </c>
      <c r="B56" s="90"/>
      <c r="C56" s="90"/>
      <c r="D56" s="90"/>
      <c r="E56" s="30"/>
    </row>
    <row r="57" spans="1:5" ht="12.75" hidden="1" customHeight="1" outlineLevel="1" x14ac:dyDescent="0.2">
      <c r="A57" s="89" t="str">
        <f>"         "&amp;Labels!B107</f>
        <v xml:space="preserve">         Series A</v>
      </c>
      <c r="B57" s="91">
        <f>0+B294</f>
        <v>0</v>
      </c>
      <c r="C57" s="91">
        <f>B117+C294</f>
        <v>0</v>
      </c>
      <c r="D57" s="91">
        <f>C117+D294</f>
        <v>0</v>
      </c>
      <c r="E57" s="30">
        <f>SUM(B57:D57)</f>
        <v>0</v>
      </c>
    </row>
    <row r="58" spans="1:5" ht="12.75" hidden="1" customHeight="1" outlineLevel="1" x14ac:dyDescent="0.2">
      <c r="A58" s="89" t="str">
        <f>"         "&amp;Labels!C106</f>
        <v xml:space="preserve">         Subtotal</v>
      </c>
      <c r="B58" s="90">
        <f>B57</f>
        <v>0</v>
      </c>
      <c r="C58" s="90">
        <f>C57</f>
        <v>0</v>
      </c>
      <c r="D58" s="90">
        <f>D57</f>
        <v>0</v>
      </c>
      <c r="E58" s="30">
        <f>E57</f>
        <v>0</v>
      </c>
    </row>
    <row r="59" spans="1:5" ht="12.75" hidden="1" customHeight="1" outlineLevel="1" x14ac:dyDescent="0.2">
      <c r="A59" s="89" t="str">
        <f>"      "&amp;Labels!B108</f>
        <v xml:space="preserve">      Common</v>
      </c>
      <c r="B59" s="90">
        <f>0+B296</f>
        <v>0</v>
      </c>
      <c r="C59" s="90">
        <f>B119+C296</f>
        <v>1</v>
      </c>
      <c r="D59" s="90">
        <f>C119+D296</f>
        <v>1</v>
      </c>
      <c r="E59" s="30">
        <f>SUM(B59:D59)</f>
        <v>2</v>
      </c>
    </row>
    <row r="60" spans="1:5" ht="12.75" hidden="1" customHeight="1" outlineLevel="1" x14ac:dyDescent="0.2">
      <c r="A60" s="89" t="str">
        <f>"      "&amp;Labels!B109</f>
        <v xml:space="preserve">      Warrant</v>
      </c>
      <c r="B60" s="90">
        <f>0+B297</f>
        <v>0</v>
      </c>
      <c r="C60" s="90">
        <f>B120+C297</f>
        <v>0</v>
      </c>
      <c r="D60" s="90">
        <f>C120+D297</f>
        <v>0</v>
      </c>
      <c r="E60" s="30">
        <f>SUM(B60:D60)</f>
        <v>0</v>
      </c>
    </row>
    <row r="61" spans="1:5" ht="12.75" hidden="1" customHeight="1" outlineLevel="1" x14ac:dyDescent="0.2">
      <c r="A61" s="89" t="str">
        <f>"      "&amp;Labels!B110</f>
        <v xml:space="preserve">      Option</v>
      </c>
      <c r="B61" s="90"/>
      <c r="C61" s="90"/>
      <c r="D61" s="90"/>
      <c r="E61" s="30"/>
    </row>
    <row r="62" spans="1:5" ht="12.75" hidden="1" customHeight="1" outlineLevel="1" x14ac:dyDescent="0.2">
      <c r="A62" s="89" t="str">
        <f>"         "&amp;Labels!B111</f>
        <v xml:space="preserve">         Series B</v>
      </c>
      <c r="B62" s="91">
        <f>0+B299</f>
        <v>0</v>
      </c>
      <c r="C62" s="91">
        <f>B122+C299</f>
        <v>0</v>
      </c>
      <c r="D62" s="91">
        <f>C122+D299</f>
        <v>0</v>
      </c>
      <c r="E62" s="30">
        <f>SUM(B62:D62)</f>
        <v>0</v>
      </c>
    </row>
    <row r="63" spans="1:5" ht="12.75" hidden="1" customHeight="1" outlineLevel="1" x14ac:dyDescent="0.2">
      <c r="A63" s="89" t="str">
        <f>"         "&amp;Labels!B112</f>
        <v xml:space="preserve">         Series A</v>
      </c>
      <c r="B63" s="91">
        <f>0+B300</f>
        <v>0</v>
      </c>
      <c r="C63" s="91">
        <f>B123+C300</f>
        <v>0</v>
      </c>
      <c r="D63" s="91">
        <f>C123+D300</f>
        <v>0</v>
      </c>
      <c r="E63" s="30">
        <f>SUM(B63:D63)</f>
        <v>0</v>
      </c>
    </row>
    <row r="64" spans="1:5" ht="12.75" hidden="1" customHeight="1" outlineLevel="1" x14ac:dyDescent="0.2">
      <c r="A64" s="89" t="str">
        <f>"         "&amp;Labels!C110</f>
        <v xml:space="preserve">         Subtotal</v>
      </c>
      <c r="B64" s="90">
        <f>SUM(B62:B63)</f>
        <v>0</v>
      </c>
      <c r="C64" s="90">
        <f>SUM(C62:C63)</f>
        <v>0</v>
      </c>
      <c r="D64" s="90">
        <f>SUM(D62:D63)</f>
        <v>0</v>
      </c>
      <c r="E64" s="30">
        <f>SUM(E62:E63)</f>
        <v>0</v>
      </c>
    </row>
    <row r="65" spans="1:5" ht="12.75" hidden="1" customHeight="1" outlineLevel="1" x14ac:dyDescent="0.2">
      <c r="A65" s="28" t="str">
        <f>"      "&amp;Labels!C102</f>
        <v xml:space="preserve">      Total</v>
      </c>
      <c r="B65" s="70">
        <f>SUM(B55,B58:B60,B64)</f>
        <v>0</v>
      </c>
      <c r="C65" s="70">
        <f>SUM(C55,C58:C60,C64)</f>
        <v>1</v>
      </c>
      <c r="D65" s="70">
        <f>SUM(D55,D58:D60,D64)</f>
        <v>1</v>
      </c>
      <c r="E65" s="30">
        <f>SUM(E55,E58:E60,E64)</f>
        <v>2</v>
      </c>
    </row>
    <row r="66" spans="1:5" ht="12.75" hidden="1" customHeight="1" outlineLevel="1" x14ac:dyDescent="0.2">
      <c r="A66" s="28" t="str">
        <f>"   "&amp;Labels!B92</f>
        <v xml:space="preserve">   New Sales</v>
      </c>
      <c r="B66" s="70"/>
      <c r="C66" s="70"/>
      <c r="D66" s="70"/>
      <c r="E66" s="30"/>
    </row>
    <row r="67" spans="1:5" ht="12.75" hidden="1" customHeight="1" outlineLevel="1" x14ac:dyDescent="0.2">
      <c r="A67" s="89" t="str">
        <f>"      "&amp;Labels!B103</f>
        <v xml:space="preserve">      Conv Note</v>
      </c>
      <c r="B67" s="90"/>
      <c r="C67" s="90"/>
      <c r="D67" s="90"/>
      <c r="E67" s="30"/>
    </row>
    <row r="68" spans="1:5" ht="12.75" hidden="1" customHeight="1" outlineLevel="1" x14ac:dyDescent="0.2">
      <c r="A68" s="89" t="str">
        <f>"         "&amp;Labels!B104</f>
        <v xml:space="preserve">         Series B</v>
      </c>
      <c r="B68" s="91">
        <f t="shared" ref="B68:D69" si="0">B229</f>
        <v>0</v>
      </c>
      <c r="C68" s="91">
        <f t="shared" si="0"/>
        <v>0</v>
      </c>
      <c r="D68" s="91">
        <f t="shared" si="0"/>
        <v>0</v>
      </c>
      <c r="E68" s="30">
        <f>SUM(B68:D68)</f>
        <v>0</v>
      </c>
    </row>
    <row r="69" spans="1:5" ht="12.75" hidden="1" customHeight="1" outlineLevel="1" x14ac:dyDescent="0.2">
      <c r="A69" s="89" t="str">
        <f>"         "&amp;Labels!B105</f>
        <v xml:space="preserve">         Series A</v>
      </c>
      <c r="B69" s="91">
        <f t="shared" si="0"/>
        <v>0</v>
      </c>
      <c r="C69" s="91">
        <f t="shared" si="0"/>
        <v>0</v>
      </c>
      <c r="D69" s="91">
        <f t="shared" si="0"/>
        <v>0</v>
      </c>
      <c r="E69" s="30">
        <f>SUM(B69:D69)</f>
        <v>0</v>
      </c>
    </row>
    <row r="70" spans="1:5" ht="12.75" hidden="1" customHeight="1" outlineLevel="1" x14ac:dyDescent="0.2">
      <c r="A70" s="89" t="str">
        <f>"         "&amp;Labels!C103</f>
        <v xml:space="preserve">         Subtotal</v>
      </c>
      <c r="B70" s="90">
        <f>SUM(B68:B69)</f>
        <v>0</v>
      </c>
      <c r="C70" s="90">
        <f>SUM(C68:C69)</f>
        <v>0</v>
      </c>
      <c r="D70" s="90">
        <f>SUM(D68:D69)</f>
        <v>0</v>
      </c>
      <c r="E70" s="30">
        <f>SUM(E68:E69)</f>
        <v>0</v>
      </c>
    </row>
    <row r="71" spans="1:5" ht="12.75" hidden="1" customHeight="1" outlineLevel="1" x14ac:dyDescent="0.2">
      <c r="A71" s="89" t="str">
        <f>"      "&amp;Labels!B106</f>
        <v xml:space="preserve">      Preferred</v>
      </c>
      <c r="B71" s="90"/>
      <c r="C71" s="90"/>
      <c r="D71" s="90"/>
      <c r="E71" s="30"/>
    </row>
    <row r="72" spans="1:5" ht="12.75" hidden="1" customHeight="1" outlineLevel="1" x14ac:dyDescent="0.2">
      <c r="A72" s="89" t="str">
        <f>"         "&amp;Labels!B107</f>
        <v xml:space="preserve">         Series A</v>
      </c>
      <c r="B72" s="91">
        <f>B233</f>
        <v>0</v>
      </c>
      <c r="C72" s="91">
        <f>C233</f>
        <v>0</v>
      </c>
      <c r="D72" s="91">
        <f>D233</f>
        <v>0</v>
      </c>
      <c r="E72" s="30">
        <f>SUM(B72:D72)</f>
        <v>0</v>
      </c>
    </row>
    <row r="73" spans="1:5" ht="12.75" hidden="1" customHeight="1" outlineLevel="1" x14ac:dyDescent="0.2">
      <c r="A73" s="89" t="str">
        <f>"         "&amp;Labels!C106</f>
        <v xml:space="preserve">         Subtotal</v>
      </c>
      <c r="B73" s="90">
        <f>B72</f>
        <v>0</v>
      </c>
      <c r="C73" s="90">
        <f>C72</f>
        <v>0</v>
      </c>
      <c r="D73" s="90">
        <f>D72</f>
        <v>0</v>
      </c>
      <c r="E73" s="30">
        <f>E72</f>
        <v>0</v>
      </c>
    </row>
    <row r="74" spans="1:5" ht="12.75" hidden="1" customHeight="1" outlineLevel="1" x14ac:dyDescent="0.2">
      <c r="A74" s="89" t="str">
        <f>"      "&amp;Labels!B108</f>
        <v xml:space="preserve">      Common</v>
      </c>
      <c r="B74" s="90">
        <f t="shared" ref="B74:D75" si="1">B235</f>
        <v>1</v>
      </c>
      <c r="C74" s="90">
        <f t="shared" si="1"/>
        <v>0</v>
      </c>
      <c r="D74" s="90">
        <f t="shared" si="1"/>
        <v>0</v>
      </c>
      <c r="E74" s="30">
        <f>SUM(B74:D74)</f>
        <v>1</v>
      </c>
    </row>
    <row r="75" spans="1:5" ht="12.75" hidden="1" customHeight="1" outlineLevel="1" x14ac:dyDescent="0.2">
      <c r="A75" s="89" t="str">
        <f>"      "&amp;Labels!B109</f>
        <v xml:space="preserve">      Warrant</v>
      </c>
      <c r="B75" s="90">
        <f t="shared" si="1"/>
        <v>0</v>
      </c>
      <c r="C75" s="90">
        <f t="shared" si="1"/>
        <v>0</v>
      </c>
      <c r="D75" s="90">
        <f t="shared" si="1"/>
        <v>0</v>
      </c>
      <c r="E75" s="30">
        <f>SUM(B75:D75)</f>
        <v>0</v>
      </c>
    </row>
    <row r="76" spans="1:5" ht="12.75" hidden="1" customHeight="1" outlineLevel="1" x14ac:dyDescent="0.2">
      <c r="A76" s="89" t="str">
        <f>"      "&amp;Labels!B110</f>
        <v xml:space="preserve">      Option</v>
      </c>
      <c r="B76" s="90"/>
      <c r="C76" s="90"/>
      <c r="D76" s="90"/>
      <c r="E76" s="30"/>
    </row>
    <row r="77" spans="1:5" ht="12.75" hidden="1" customHeight="1" outlineLevel="1" x14ac:dyDescent="0.2">
      <c r="A77" s="89" t="str">
        <f>"         "&amp;Labels!B111</f>
        <v xml:space="preserve">         Series B</v>
      </c>
      <c r="B77" s="91">
        <f t="shared" ref="B77:D78" si="2">B238</f>
        <v>0</v>
      </c>
      <c r="C77" s="91">
        <f t="shared" si="2"/>
        <v>0</v>
      </c>
      <c r="D77" s="91">
        <f t="shared" si="2"/>
        <v>0</v>
      </c>
      <c r="E77" s="30">
        <f>SUM(B77:D77)</f>
        <v>0</v>
      </c>
    </row>
    <row r="78" spans="1:5" ht="12.75" hidden="1" customHeight="1" outlineLevel="1" x14ac:dyDescent="0.2">
      <c r="A78" s="89" t="str">
        <f>"         "&amp;Labels!B112</f>
        <v xml:space="preserve">         Series A</v>
      </c>
      <c r="B78" s="91">
        <f t="shared" si="2"/>
        <v>0</v>
      </c>
      <c r="C78" s="91">
        <f t="shared" si="2"/>
        <v>0</v>
      </c>
      <c r="D78" s="91">
        <f t="shared" si="2"/>
        <v>0</v>
      </c>
      <c r="E78" s="30">
        <f>SUM(B78:D78)</f>
        <v>0</v>
      </c>
    </row>
    <row r="79" spans="1:5" ht="12.75" hidden="1" customHeight="1" outlineLevel="1" x14ac:dyDescent="0.2">
      <c r="A79" s="89" t="str">
        <f>"         "&amp;Labels!C110</f>
        <v xml:space="preserve">         Subtotal</v>
      </c>
      <c r="B79" s="90">
        <f>SUM(B77:B78)</f>
        <v>0</v>
      </c>
      <c r="C79" s="90">
        <f>SUM(C77:C78)</f>
        <v>0</v>
      </c>
      <c r="D79" s="90">
        <f>SUM(D77:D78)</f>
        <v>0</v>
      </c>
      <c r="E79" s="30">
        <f>SUM(E77:E78)</f>
        <v>0</v>
      </c>
    </row>
    <row r="80" spans="1:5" ht="12.75" hidden="1" customHeight="1" outlineLevel="1" x14ac:dyDescent="0.2">
      <c r="A80" s="28" t="str">
        <f>"      "&amp;Labels!C102</f>
        <v xml:space="preserve">      Total</v>
      </c>
      <c r="B80" s="70">
        <f>SUM(B70,B73:B75,B79)</f>
        <v>1</v>
      </c>
      <c r="C80" s="70">
        <f>SUM(C70,C73:C75,C79)</f>
        <v>0</v>
      </c>
      <c r="D80" s="70">
        <f>SUM(D70,D73:D75,D79)</f>
        <v>0</v>
      </c>
      <c r="E80" s="30">
        <f>SUM(E70,E73:E75,E79)</f>
        <v>1</v>
      </c>
    </row>
    <row r="81" spans="1:5" ht="12.75" hidden="1" customHeight="1" outlineLevel="1" x14ac:dyDescent="0.2">
      <c r="A81" s="28" t="str">
        <f>"   "&amp;Labels!B93</f>
        <v xml:space="preserve">   Post Sales</v>
      </c>
      <c r="B81" s="70"/>
      <c r="C81" s="70"/>
      <c r="D81" s="70"/>
      <c r="E81" s="30"/>
    </row>
    <row r="82" spans="1:5" ht="12.75" hidden="1" customHeight="1" outlineLevel="1" x14ac:dyDescent="0.2">
      <c r="A82" s="89" t="str">
        <f>"      "&amp;Labels!B103</f>
        <v xml:space="preserve">      Conv Note</v>
      </c>
      <c r="B82" s="90"/>
      <c r="C82" s="90"/>
      <c r="D82" s="90"/>
      <c r="E82" s="30"/>
    </row>
    <row r="83" spans="1:5" ht="12.75" hidden="1" customHeight="1" outlineLevel="1" x14ac:dyDescent="0.2">
      <c r="A83" s="89" t="str">
        <f>"         "&amp;Labels!B104</f>
        <v xml:space="preserve">         Series B</v>
      </c>
      <c r="B83" s="91">
        <f t="shared" ref="B83:D84" si="3">B53+B68</f>
        <v>0</v>
      </c>
      <c r="C83" s="91">
        <f t="shared" si="3"/>
        <v>0</v>
      </c>
      <c r="D83" s="91">
        <f t="shared" si="3"/>
        <v>0</v>
      </c>
      <c r="E83" s="30">
        <f>SUM(B83:D83)</f>
        <v>0</v>
      </c>
    </row>
    <row r="84" spans="1:5" ht="12.75" hidden="1" customHeight="1" outlineLevel="1" x14ac:dyDescent="0.2">
      <c r="A84" s="89" t="str">
        <f>"         "&amp;Labels!B105</f>
        <v xml:space="preserve">         Series A</v>
      </c>
      <c r="B84" s="91">
        <f t="shared" si="3"/>
        <v>0</v>
      </c>
      <c r="C84" s="91">
        <f t="shared" si="3"/>
        <v>0</v>
      </c>
      <c r="D84" s="91">
        <f t="shared" si="3"/>
        <v>0</v>
      </c>
      <c r="E84" s="30">
        <f>SUM(B84:D84)</f>
        <v>0</v>
      </c>
    </row>
    <row r="85" spans="1:5" ht="12.75" hidden="1" customHeight="1" outlineLevel="1" x14ac:dyDescent="0.2">
      <c r="A85" s="89" t="str">
        <f>"         "&amp;Labels!C103</f>
        <v xml:space="preserve">         Subtotal</v>
      </c>
      <c r="B85" s="90">
        <f>SUM(B83:B84)</f>
        <v>0</v>
      </c>
      <c r="C85" s="90">
        <f>SUM(C83:C84)</f>
        <v>0</v>
      </c>
      <c r="D85" s="90">
        <f>SUM(D83:D84)</f>
        <v>0</v>
      </c>
      <c r="E85" s="30">
        <f>SUM(E83:E84)</f>
        <v>0</v>
      </c>
    </row>
    <row r="86" spans="1:5" ht="12.75" hidden="1" customHeight="1" outlineLevel="1" x14ac:dyDescent="0.2">
      <c r="A86" s="89" t="str">
        <f>"      "&amp;Labels!B106</f>
        <v xml:space="preserve">      Preferred</v>
      </c>
      <c r="B86" s="90"/>
      <c r="C86" s="90"/>
      <c r="D86" s="90"/>
      <c r="E86" s="30"/>
    </row>
    <row r="87" spans="1:5" ht="12.75" hidden="1" customHeight="1" outlineLevel="1" x14ac:dyDescent="0.2">
      <c r="A87" s="89" t="str">
        <f>"         "&amp;Labels!B107</f>
        <v xml:space="preserve">         Series A</v>
      </c>
      <c r="B87" s="91">
        <f>B57+B72</f>
        <v>0</v>
      </c>
      <c r="C87" s="91">
        <f>C57+C72</f>
        <v>0</v>
      </c>
      <c r="D87" s="91">
        <f>D57+D72</f>
        <v>0</v>
      </c>
      <c r="E87" s="30">
        <f>SUM(B87:D87)</f>
        <v>0</v>
      </c>
    </row>
    <row r="88" spans="1:5" ht="12.75" hidden="1" customHeight="1" outlineLevel="1" x14ac:dyDescent="0.2">
      <c r="A88" s="89" t="str">
        <f>"         "&amp;Labels!C106</f>
        <v xml:space="preserve">         Subtotal</v>
      </c>
      <c r="B88" s="90">
        <f>B87</f>
        <v>0</v>
      </c>
      <c r="C88" s="90">
        <f>C87</f>
        <v>0</v>
      </c>
      <c r="D88" s="90">
        <f>D87</f>
        <v>0</v>
      </c>
      <c r="E88" s="30">
        <f>E87</f>
        <v>0</v>
      </c>
    </row>
    <row r="89" spans="1:5" ht="12.75" hidden="1" customHeight="1" outlineLevel="1" x14ac:dyDescent="0.2">
      <c r="A89" s="89" t="str">
        <f>"      "&amp;Labels!B108</f>
        <v xml:space="preserve">      Common</v>
      </c>
      <c r="B89" s="90">
        <f t="shared" ref="B89:D90" si="4">B59+B74</f>
        <v>1</v>
      </c>
      <c r="C89" s="90">
        <f t="shared" si="4"/>
        <v>1</v>
      </c>
      <c r="D89" s="90">
        <f t="shared" si="4"/>
        <v>1</v>
      </c>
      <c r="E89" s="30">
        <f>SUM(B89:D89)</f>
        <v>3</v>
      </c>
    </row>
    <row r="90" spans="1:5" ht="12.75" hidden="1" customHeight="1" outlineLevel="1" x14ac:dyDescent="0.2">
      <c r="A90" s="89" t="str">
        <f>"      "&amp;Labels!B109</f>
        <v xml:space="preserve">      Warrant</v>
      </c>
      <c r="B90" s="90">
        <f t="shared" si="4"/>
        <v>0</v>
      </c>
      <c r="C90" s="90">
        <f t="shared" si="4"/>
        <v>0</v>
      </c>
      <c r="D90" s="90">
        <f t="shared" si="4"/>
        <v>0</v>
      </c>
      <c r="E90" s="30">
        <f>SUM(B90:D90)</f>
        <v>0</v>
      </c>
    </row>
    <row r="91" spans="1:5" ht="12.75" hidden="1" customHeight="1" outlineLevel="1" x14ac:dyDescent="0.2">
      <c r="A91" s="89" t="str">
        <f>"      "&amp;Labels!B110</f>
        <v xml:space="preserve">      Option</v>
      </c>
      <c r="B91" s="90"/>
      <c r="C91" s="90"/>
      <c r="D91" s="90"/>
      <c r="E91" s="30"/>
    </row>
    <row r="92" spans="1:5" ht="12.75" hidden="1" customHeight="1" outlineLevel="1" x14ac:dyDescent="0.2">
      <c r="A92" s="89" t="str">
        <f>"         "&amp;Labels!B111</f>
        <v xml:space="preserve">         Series B</v>
      </c>
      <c r="B92" s="91">
        <f t="shared" ref="B92:D93" si="5">B62+B77</f>
        <v>0</v>
      </c>
      <c r="C92" s="91">
        <f t="shared" si="5"/>
        <v>0</v>
      </c>
      <c r="D92" s="91">
        <f t="shared" si="5"/>
        <v>0</v>
      </c>
      <c r="E92" s="30">
        <f>SUM(B92:D92)</f>
        <v>0</v>
      </c>
    </row>
    <row r="93" spans="1:5" ht="12.75" hidden="1" customHeight="1" outlineLevel="1" x14ac:dyDescent="0.2">
      <c r="A93" s="89" t="str">
        <f>"         "&amp;Labels!B112</f>
        <v xml:space="preserve">         Series A</v>
      </c>
      <c r="B93" s="91">
        <f t="shared" si="5"/>
        <v>0</v>
      </c>
      <c r="C93" s="91">
        <f t="shared" si="5"/>
        <v>0</v>
      </c>
      <c r="D93" s="91">
        <f t="shared" si="5"/>
        <v>0</v>
      </c>
      <c r="E93" s="30">
        <f>SUM(B93:D93)</f>
        <v>0</v>
      </c>
    </row>
    <row r="94" spans="1:5" ht="12.75" hidden="1" customHeight="1" outlineLevel="1" x14ac:dyDescent="0.2">
      <c r="A94" s="89" t="str">
        <f>"         "&amp;Labels!C110</f>
        <v xml:space="preserve">         Subtotal</v>
      </c>
      <c r="B94" s="90">
        <f>SUM(B92:B93)</f>
        <v>0</v>
      </c>
      <c r="C94" s="90">
        <f>SUM(C92:C93)</f>
        <v>0</v>
      </c>
      <c r="D94" s="90">
        <f>SUM(D92:D93)</f>
        <v>0</v>
      </c>
      <c r="E94" s="30">
        <f>SUM(E92:E93)</f>
        <v>0</v>
      </c>
    </row>
    <row r="95" spans="1:5" ht="12.75" hidden="1" customHeight="1" outlineLevel="1" x14ac:dyDescent="0.2">
      <c r="A95" s="28" t="str">
        <f>"      "&amp;Labels!C102</f>
        <v xml:space="preserve">      Total</v>
      </c>
      <c r="B95" s="70">
        <f>SUM(B85,B88:B90,B94)</f>
        <v>1</v>
      </c>
      <c r="C95" s="70">
        <f>SUM(C85,C88:C90,C94)</f>
        <v>1</v>
      </c>
      <c r="D95" s="70">
        <f>SUM(D85,D88:D90,D94)</f>
        <v>1</v>
      </c>
      <c r="E95" s="30">
        <f>SUM(E85,E88:E90,E94)</f>
        <v>3</v>
      </c>
    </row>
    <row r="96" spans="1:5" ht="12.75" hidden="1" customHeight="1" outlineLevel="1" x14ac:dyDescent="0.2">
      <c r="A96" s="28" t="str">
        <f>"   "&amp;Labels!B94</f>
        <v xml:space="preserve">   Convert</v>
      </c>
      <c r="B96" s="70"/>
      <c r="C96" s="70"/>
      <c r="D96" s="70"/>
      <c r="E96" s="30"/>
    </row>
    <row r="97" spans="1:5" ht="12.75" hidden="1" customHeight="1" outlineLevel="1" x14ac:dyDescent="0.2">
      <c r="A97" s="89" t="str">
        <f>"      "&amp;Labels!B103</f>
        <v xml:space="preserve">      Conv Note</v>
      </c>
      <c r="B97" s="90"/>
      <c r="C97" s="90"/>
      <c r="D97" s="90"/>
      <c r="E97" s="30"/>
    </row>
    <row r="98" spans="1:5" ht="12.75" hidden="1" customHeight="1" outlineLevel="1" x14ac:dyDescent="0.2">
      <c r="A98" s="89" t="str">
        <f>"         "&amp;Labels!B104</f>
        <v xml:space="preserve">         Series B</v>
      </c>
      <c r="B98" s="91">
        <f t="shared" ref="B98:D99" si="6">0/3/10</f>
        <v>0</v>
      </c>
      <c r="C98" s="91">
        <f t="shared" si="6"/>
        <v>0</v>
      </c>
      <c r="D98" s="91">
        <f t="shared" si="6"/>
        <v>0</v>
      </c>
      <c r="E98" s="30">
        <f>SUM(B98:D98)</f>
        <v>0</v>
      </c>
    </row>
    <row r="99" spans="1:5" ht="12.75" hidden="1" customHeight="1" outlineLevel="1" x14ac:dyDescent="0.2">
      <c r="A99" s="89" t="str">
        <f>"         "&amp;Labels!B105</f>
        <v xml:space="preserve">         Series A</v>
      </c>
      <c r="B99" s="91">
        <f t="shared" si="6"/>
        <v>0</v>
      </c>
      <c r="C99" s="91">
        <f t="shared" si="6"/>
        <v>0</v>
      </c>
      <c r="D99" s="91">
        <f t="shared" si="6"/>
        <v>0</v>
      </c>
      <c r="E99" s="30">
        <f>SUM(B99:D99)</f>
        <v>0</v>
      </c>
    </row>
    <row r="100" spans="1:5" ht="12.75" hidden="1" customHeight="1" outlineLevel="1" x14ac:dyDescent="0.2">
      <c r="A100" s="89" t="str">
        <f>"         "&amp;Labels!C103</f>
        <v xml:space="preserve">         Subtotal</v>
      </c>
      <c r="B100" s="90">
        <f>SUM(B98:B99)</f>
        <v>0</v>
      </c>
      <c r="C100" s="90">
        <f>SUM(C98:C99)</f>
        <v>0</v>
      </c>
      <c r="D100" s="90">
        <f>SUM(D98:D99)</f>
        <v>0</v>
      </c>
      <c r="E100" s="30">
        <f>SUM(E98:E99)</f>
        <v>0</v>
      </c>
    </row>
    <row r="101" spans="1:5" ht="12.75" hidden="1" customHeight="1" outlineLevel="1" x14ac:dyDescent="0.2">
      <c r="A101" s="89" t="str">
        <f>"      "&amp;Labels!B106</f>
        <v xml:space="preserve">      Preferred</v>
      </c>
      <c r="B101" s="90"/>
      <c r="C101" s="90"/>
      <c r="D101" s="90"/>
      <c r="E101" s="30"/>
    </row>
    <row r="102" spans="1:5" ht="12.75" hidden="1" customHeight="1" outlineLevel="1" x14ac:dyDescent="0.2">
      <c r="A102" s="89" t="str">
        <f>"         "&amp;Labels!B107</f>
        <v xml:space="preserve">         Series A</v>
      </c>
      <c r="B102" s="91">
        <f>0/3/5</f>
        <v>0</v>
      </c>
      <c r="C102" s="91">
        <f>0/3/5</f>
        <v>0</v>
      </c>
      <c r="D102" s="91">
        <f>0/3/5</f>
        <v>0</v>
      </c>
      <c r="E102" s="30">
        <f>SUM(B102:D102)</f>
        <v>0</v>
      </c>
    </row>
    <row r="103" spans="1:5" ht="12.75" hidden="1" customHeight="1" outlineLevel="1" x14ac:dyDescent="0.2">
      <c r="A103" s="89" t="str">
        <f>"         "&amp;Labels!C106</f>
        <v xml:space="preserve">         Subtotal</v>
      </c>
      <c r="B103" s="90">
        <f>B102</f>
        <v>0</v>
      </c>
      <c r="C103" s="90">
        <f>C102</f>
        <v>0</v>
      </c>
      <c r="D103" s="90">
        <f>D102</f>
        <v>0</v>
      </c>
      <c r="E103" s="30">
        <f>E102</f>
        <v>0</v>
      </c>
    </row>
    <row r="104" spans="1:5" ht="12.75" hidden="1" customHeight="1" outlineLevel="1" x14ac:dyDescent="0.2">
      <c r="A104" s="89" t="str">
        <f>"      "&amp;Labels!B108</f>
        <v xml:space="preserve">      Common</v>
      </c>
      <c r="B104" s="90">
        <f>0/3/5</f>
        <v>0</v>
      </c>
      <c r="C104" s="90">
        <f>0/3/5</f>
        <v>0</v>
      </c>
      <c r="D104" s="90">
        <f>0/3/5</f>
        <v>0</v>
      </c>
      <c r="E104" s="30">
        <f>SUM(B104:D104)</f>
        <v>0</v>
      </c>
    </row>
    <row r="105" spans="1:5" ht="12.75" hidden="1" customHeight="1" outlineLevel="1" x14ac:dyDescent="0.2">
      <c r="A105" s="89" t="str">
        <f>"      "&amp;Labels!B109</f>
        <v xml:space="preserve">      Warrant</v>
      </c>
      <c r="B105" s="90">
        <f>Options!B16</f>
        <v>0</v>
      </c>
      <c r="C105" s="90">
        <f>Options!C16</f>
        <v>0</v>
      </c>
      <c r="D105" s="90">
        <f>Options!D16</f>
        <v>0</v>
      </c>
      <c r="E105" s="30">
        <f>SUM(B105:D105)</f>
        <v>0</v>
      </c>
    </row>
    <row r="106" spans="1:5" ht="12.75" hidden="1" customHeight="1" outlineLevel="1" x14ac:dyDescent="0.2">
      <c r="A106" s="89" t="str">
        <f>"      "&amp;Labels!B110</f>
        <v xml:space="preserve">      Option</v>
      </c>
      <c r="B106" s="90"/>
      <c r="C106" s="90"/>
      <c r="D106" s="90"/>
      <c r="E106" s="30"/>
    </row>
    <row r="107" spans="1:5" ht="12.75" hidden="1" customHeight="1" outlineLevel="1" x14ac:dyDescent="0.2">
      <c r="A107" s="89" t="str">
        <f>"         "&amp;Labels!B111</f>
        <v xml:space="preserve">         Series B</v>
      </c>
      <c r="B107" s="91">
        <f>Options!B39</f>
        <v>0</v>
      </c>
      <c r="C107" s="91">
        <f>Options!C39</f>
        <v>0</v>
      </c>
      <c r="D107" s="91">
        <f>Options!D39</f>
        <v>0</v>
      </c>
      <c r="E107" s="30">
        <f>SUM(B107:D107)</f>
        <v>0</v>
      </c>
    </row>
    <row r="108" spans="1:5" ht="12.75" hidden="1" customHeight="1" outlineLevel="1" x14ac:dyDescent="0.2">
      <c r="A108" s="89" t="str">
        <f>"         "&amp;Labels!B112</f>
        <v xml:space="preserve">         Series A</v>
      </c>
      <c r="B108" s="91">
        <f>Options!B40</f>
        <v>0</v>
      </c>
      <c r="C108" s="91">
        <f>Options!C40</f>
        <v>0</v>
      </c>
      <c r="D108" s="91">
        <f>Options!D40</f>
        <v>0</v>
      </c>
      <c r="E108" s="30">
        <f>SUM(B108:D108)</f>
        <v>0</v>
      </c>
    </row>
    <row r="109" spans="1:5" ht="12.75" hidden="1" customHeight="1" outlineLevel="1" x14ac:dyDescent="0.2">
      <c r="A109" s="89" t="str">
        <f>"         "&amp;Labels!C110</f>
        <v xml:space="preserve">         Subtotal</v>
      </c>
      <c r="B109" s="90">
        <f>SUM(B107:B108)</f>
        <v>0</v>
      </c>
      <c r="C109" s="90">
        <f>SUM(C107:C108)</f>
        <v>0</v>
      </c>
      <c r="D109" s="90">
        <f>SUM(D107:D108)</f>
        <v>0</v>
      </c>
      <c r="E109" s="30">
        <f>SUM(E107:E108)</f>
        <v>0</v>
      </c>
    </row>
    <row r="110" spans="1:5" ht="12.75" hidden="1" customHeight="1" outlineLevel="1" x14ac:dyDescent="0.2">
      <c r="A110" s="28" t="str">
        <f>"      "&amp;Labels!C102</f>
        <v xml:space="preserve">      Total</v>
      </c>
      <c r="B110" s="70">
        <f>SUM(B100,B103:B105,B109)</f>
        <v>0</v>
      </c>
      <c r="C110" s="70">
        <f>SUM(C100,C103:C105,C109)</f>
        <v>0</v>
      </c>
      <c r="D110" s="70">
        <f>SUM(D100,D103:D105,D109)</f>
        <v>0</v>
      </c>
      <c r="E110" s="30">
        <f>SUM(E100,E103:E105,E109)</f>
        <v>0</v>
      </c>
    </row>
    <row r="111" spans="1:5" ht="12.75" hidden="1" customHeight="1" outlineLevel="1" x14ac:dyDescent="0.2">
      <c r="A111" s="28" t="str">
        <f>"   "&amp;Labels!B95</f>
        <v xml:space="preserve">   End</v>
      </c>
      <c r="B111" s="70"/>
      <c r="C111" s="70"/>
      <c r="D111" s="70"/>
      <c r="E111" s="30"/>
    </row>
    <row r="112" spans="1:5" ht="12.75" hidden="1" customHeight="1" outlineLevel="1" x14ac:dyDescent="0.2">
      <c r="A112" s="89" t="str">
        <f>"      "&amp;Labels!B103</f>
        <v xml:space="preserve">      Conv Note</v>
      </c>
      <c r="B112" s="90"/>
      <c r="C112" s="90"/>
      <c r="D112" s="90"/>
      <c r="E112" s="30"/>
    </row>
    <row r="113" spans="1:5" ht="12.75" hidden="1" customHeight="1" outlineLevel="1" x14ac:dyDescent="0.2">
      <c r="A113" s="89" t="str">
        <f>"         "&amp;Labels!B104</f>
        <v xml:space="preserve">         Series B</v>
      </c>
      <c r="B113" s="91">
        <f t="shared" ref="B113:D114" si="7">B83+B98</f>
        <v>0</v>
      </c>
      <c r="C113" s="91">
        <f t="shared" si="7"/>
        <v>0</v>
      </c>
      <c r="D113" s="91">
        <f t="shared" si="7"/>
        <v>0</v>
      </c>
      <c r="E113" s="30">
        <f>SUM(B113:D113)</f>
        <v>0</v>
      </c>
    </row>
    <row r="114" spans="1:5" ht="12.75" hidden="1" customHeight="1" outlineLevel="1" x14ac:dyDescent="0.2">
      <c r="A114" s="89" t="str">
        <f>"         "&amp;Labels!B105</f>
        <v xml:space="preserve">         Series A</v>
      </c>
      <c r="B114" s="91">
        <f t="shared" si="7"/>
        <v>0</v>
      </c>
      <c r="C114" s="91">
        <f t="shared" si="7"/>
        <v>0</v>
      </c>
      <c r="D114" s="91">
        <f t="shared" si="7"/>
        <v>0</v>
      </c>
      <c r="E114" s="30">
        <f>SUM(B114:D114)</f>
        <v>0</v>
      </c>
    </row>
    <row r="115" spans="1:5" ht="12.75" hidden="1" customHeight="1" outlineLevel="1" x14ac:dyDescent="0.2">
      <c r="A115" s="89" t="str">
        <f>"         "&amp;Labels!C103</f>
        <v xml:space="preserve">         Subtotal</v>
      </c>
      <c r="B115" s="90">
        <f>SUM(B113:B114)</f>
        <v>0</v>
      </c>
      <c r="C115" s="90">
        <f>SUM(C113:C114)</f>
        <v>0</v>
      </c>
      <c r="D115" s="90">
        <f>SUM(D113:D114)</f>
        <v>0</v>
      </c>
      <c r="E115" s="30">
        <f>SUM(E113:E114)</f>
        <v>0</v>
      </c>
    </row>
    <row r="116" spans="1:5" ht="12.75" hidden="1" customHeight="1" outlineLevel="1" x14ac:dyDescent="0.2">
      <c r="A116" s="89" t="str">
        <f>"      "&amp;Labels!B106</f>
        <v xml:space="preserve">      Preferred</v>
      </c>
      <c r="B116" s="90"/>
      <c r="C116" s="90"/>
      <c r="D116" s="90"/>
      <c r="E116" s="30"/>
    </row>
    <row r="117" spans="1:5" ht="12.75" hidden="1" customHeight="1" outlineLevel="1" x14ac:dyDescent="0.2">
      <c r="A117" s="89" t="str">
        <f>"         "&amp;Labels!B107</f>
        <v xml:space="preserve">         Series A</v>
      </c>
      <c r="B117" s="91">
        <f>B87+B102</f>
        <v>0</v>
      </c>
      <c r="C117" s="91">
        <f>C87+C102</f>
        <v>0</v>
      </c>
      <c r="D117" s="91">
        <f>D87+D102</f>
        <v>0</v>
      </c>
      <c r="E117" s="30">
        <f>SUM(B117:D117)</f>
        <v>0</v>
      </c>
    </row>
    <row r="118" spans="1:5" ht="12.75" hidden="1" customHeight="1" outlineLevel="1" x14ac:dyDescent="0.2">
      <c r="A118" s="89" t="str">
        <f>"         "&amp;Labels!C106</f>
        <v xml:space="preserve">         Subtotal</v>
      </c>
      <c r="B118" s="90">
        <f>B117</f>
        <v>0</v>
      </c>
      <c r="C118" s="90">
        <f>C117</f>
        <v>0</v>
      </c>
      <c r="D118" s="90">
        <f>D117</f>
        <v>0</v>
      </c>
      <c r="E118" s="30">
        <f>E117</f>
        <v>0</v>
      </c>
    </row>
    <row r="119" spans="1:5" ht="12.75" hidden="1" customHeight="1" outlineLevel="1" x14ac:dyDescent="0.2">
      <c r="A119" s="89" t="str">
        <f>"      "&amp;Labels!B108</f>
        <v xml:space="preserve">      Common</v>
      </c>
      <c r="B119" s="90">
        <f t="shared" ref="B119:D120" si="8">B89+B104</f>
        <v>1</v>
      </c>
      <c r="C119" s="90">
        <f t="shared" si="8"/>
        <v>1</v>
      </c>
      <c r="D119" s="90">
        <f t="shared" si="8"/>
        <v>1</v>
      </c>
      <c r="E119" s="30">
        <f>SUM(B119:D119)</f>
        <v>3</v>
      </c>
    </row>
    <row r="120" spans="1:5" ht="12.75" hidden="1" customHeight="1" outlineLevel="1" x14ac:dyDescent="0.2">
      <c r="A120" s="89" t="str">
        <f>"      "&amp;Labels!B109</f>
        <v xml:space="preserve">      Warrant</v>
      </c>
      <c r="B120" s="90">
        <f t="shared" si="8"/>
        <v>0</v>
      </c>
      <c r="C120" s="90">
        <f t="shared" si="8"/>
        <v>0</v>
      </c>
      <c r="D120" s="90">
        <f t="shared" si="8"/>
        <v>0</v>
      </c>
      <c r="E120" s="30">
        <f>SUM(B120:D120)</f>
        <v>0</v>
      </c>
    </row>
    <row r="121" spans="1:5" ht="12.75" hidden="1" customHeight="1" outlineLevel="1" x14ac:dyDescent="0.2">
      <c r="A121" s="89" t="str">
        <f>"      "&amp;Labels!B110</f>
        <v xml:space="preserve">      Option</v>
      </c>
      <c r="B121" s="90"/>
      <c r="C121" s="90"/>
      <c r="D121" s="90"/>
      <c r="E121" s="30"/>
    </row>
    <row r="122" spans="1:5" ht="12.75" hidden="1" customHeight="1" outlineLevel="1" x14ac:dyDescent="0.2">
      <c r="A122" s="89" t="str">
        <f>"         "&amp;Labels!B111</f>
        <v xml:space="preserve">         Series B</v>
      </c>
      <c r="B122" s="91">
        <f t="shared" ref="B122:D123" si="9">B92+B107</f>
        <v>0</v>
      </c>
      <c r="C122" s="91">
        <f t="shared" si="9"/>
        <v>0</v>
      </c>
      <c r="D122" s="91">
        <f t="shared" si="9"/>
        <v>0</v>
      </c>
      <c r="E122" s="30">
        <f>SUM(B122:D122)</f>
        <v>0</v>
      </c>
    </row>
    <row r="123" spans="1:5" ht="12.75" hidden="1" customHeight="1" outlineLevel="1" x14ac:dyDescent="0.2">
      <c r="A123" s="89" t="str">
        <f>"         "&amp;Labels!B112</f>
        <v xml:space="preserve">         Series A</v>
      </c>
      <c r="B123" s="91">
        <f t="shared" si="9"/>
        <v>0</v>
      </c>
      <c r="C123" s="91">
        <f t="shared" si="9"/>
        <v>0</v>
      </c>
      <c r="D123" s="91">
        <f t="shared" si="9"/>
        <v>0</v>
      </c>
      <c r="E123" s="30">
        <f>SUM(B123:D123)</f>
        <v>0</v>
      </c>
    </row>
    <row r="124" spans="1:5" ht="12.75" hidden="1" customHeight="1" outlineLevel="1" x14ac:dyDescent="0.2">
      <c r="A124" s="89" t="str">
        <f>"         "&amp;Labels!C110</f>
        <v xml:space="preserve">         Subtotal</v>
      </c>
      <c r="B124" s="90">
        <f>SUM(B122:B123)</f>
        <v>0</v>
      </c>
      <c r="C124" s="90">
        <f>SUM(C122:C123)</f>
        <v>0</v>
      </c>
      <c r="D124" s="90">
        <f>SUM(D122:D123)</f>
        <v>0</v>
      </c>
      <c r="E124" s="30">
        <f>SUM(E122:E123)</f>
        <v>0</v>
      </c>
    </row>
    <row r="125" spans="1:5" ht="12.75" hidden="1" customHeight="1" outlineLevel="1" x14ac:dyDescent="0.2">
      <c r="A125" s="28" t="str">
        <f>"      "&amp;Labels!C102</f>
        <v xml:space="preserve">      Total</v>
      </c>
      <c r="B125" s="70">
        <f>SUM(B115,B118:B120,B124)</f>
        <v>1</v>
      </c>
      <c r="C125" s="70">
        <f>SUM(C115,C118:C120,C124)</f>
        <v>1</v>
      </c>
      <c r="D125" s="70">
        <f>SUM(D115,D118:D120,D124)</f>
        <v>1</v>
      </c>
      <c r="E125" s="30">
        <f>SUM(E115,E118:E120,E124)</f>
        <v>3</v>
      </c>
    </row>
    <row r="126" spans="1:5" ht="12.75" hidden="1" customHeight="1" outlineLevel="1" x14ac:dyDescent="0.2">
      <c r="A126" s="4"/>
      <c r="B126" s="92"/>
      <c r="C126" s="92"/>
      <c r="D126" s="92"/>
      <c r="E126" s="4"/>
    </row>
    <row r="127" spans="1:5" ht="12.75" hidden="1" customHeight="1" outlineLevel="1" x14ac:dyDescent="0.2">
      <c r="A127" s="73" t="str">
        <f>Labels!B28</f>
        <v>Invest by Origin ex-Dividend</v>
      </c>
      <c r="B127" s="74"/>
      <c r="C127" s="74"/>
      <c r="D127" s="74"/>
      <c r="E127" s="30"/>
    </row>
    <row r="128" spans="1:5" ht="12.75" hidden="1" customHeight="1" outlineLevel="1" x14ac:dyDescent="0.2">
      <c r="A128" s="28" t="str">
        <f>"   "&amp;Labels!B91</f>
        <v xml:space="preserve">   Start</v>
      </c>
      <c r="B128" s="70"/>
      <c r="C128" s="70"/>
      <c r="D128" s="70"/>
      <c r="E128" s="30"/>
    </row>
    <row r="129" spans="1:5" ht="12.75" hidden="1" customHeight="1" outlineLevel="1" x14ac:dyDescent="0.2">
      <c r="A129" s="89" t="str">
        <f>"      "&amp;Labels!B103</f>
        <v xml:space="preserve">      Conv Note</v>
      </c>
      <c r="B129" s="90"/>
      <c r="C129" s="90"/>
      <c r="D129" s="90"/>
      <c r="E129" s="30"/>
    </row>
    <row r="130" spans="1:5" ht="12.75" hidden="1" customHeight="1" outlineLevel="1" x14ac:dyDescent="0.2">
      <c r="A130" s="89" t="str">
        <f>"         "&amp;Labels!B104</f>
        <v xml:space="preserve">         Series B</v>
      </c>
      <c r="B130" s="91">
        <f>0</f>
        <v>0</v>
      </c>
      <c r="C130" s="91">
        <f>B190</f>
        <v>0</v>
      </c>
      <c r="D130" s="91">
        <f>C190</f>
        <v>0</v>
      </c>
      <c r="E130" s="30">
        <f>SUM(B130:D130)</f>
        <v>0</v>
      </c>
    </row>
    <row r="131" spans="1:5" ht="12.75" hidden="1" customHeight="1" outlineLevel="1" x14ac:dyDescent="0.2">
      <c r="A131" s="89" t="str">
        <f>"         "&amp;Labels!B105</f>
        <v xml:space="preserve">         Series A</v>
      </c>
      <c r="B131" s="91">
        <f>0</f>
        <v>0</v>
      </c>
      <c r="C131" s="91">
        <f>B191</f>
        <v>0</v>
      </c>
      <c r="D131" s="91">
        <f>C191</f>
        <v>0</v>
      </c>
      <c r="E131" s="30">
        <f>SUM(B131:D131)</f>
        <v>0</v>
      </c>
    </row>
    <row r="132" spans="1:5" ht="12.75" hidden="1" customHeight="1" outlineLevel="1" x14ac:dyDescent="0.2">
      <c r="A132" s="89" t="str">
        <f>"         "&amp;Labels!C103</f>
        <v xml:space="preserve">         Subtotal</v>
      </c>
      <c r="B132" s="90">
        <f>SUM(B130:B131)</f>
        <v>0</v>
      </c>
      <c r="C132" s="90">
        <f>SUM(C130:C131)</f>
        <v>0</v>
      </c>
      <c r="D132" s="90">
        <f>SUM(D130:D131)</f>
        <v>0</v>
      </c>
      <c r="E132" s="30">
        <f>SUM(E130:E131)</f>
        <v>0</v>
      </c>
    </row>
    <row r="133" spans="1:5" ht="12.75" hidden="1" customHeight="1" outlineLevel="1" x14ac:dyDescent="0.2">
      <c r="A133" s="89" t="str">
        <f>"      "&amp;Labels!B106</f>
        <v xml:space="preserve">      Preferred</v>
      </c>
      <c r="B133" s="90"/>
      <c r="C133" s="90"/>
      <c r="D133" s="90"/>
      <c r="E133" s="30"/>
    </row>
    <row r="134" spans="1:5" ht="12.75" hidden="1" customHeight="1" outlineLevel="1" x14ac:dyDescent="0.2">
      <c r="A134" s="89" t="str">
        <f>"         "&amp;Labels!B107</f>
        <v xml:space="preserve">         Series A</v>
      </c>
      <c r="B134" s="91">
        <f>0</f>
        <v>0</v>
      </c>
      <c r="C134" s="91">
        <f>B194</f>
        <v>0</v>
      </c>
      <c r="D134" s="91">
        <f>C194</f>
        <v>0</v>
      </c>
      <c r="E134" s="30">
        <f>SUM(B134:D134)</f>
        <v>0</v>
      </c>
    </row>
    <row r="135" spans="1:5" ht="12.75" hidden="1" customHeight="1" outlineLevel="1" x14ac:dyDescent="0.2">
      <c r="A135" s="89" t="str">
        <f>"         "&amp;Labels!C106</f>
        <v xml:space="preserve">         Subtotal</v>
      </c>
      <c r="B135" s="90">
        <f>B134</f>
        <v>0</v>
      </c>
      <c r="C135" s="90">
        <f>C134</f>
        <v>0</v>
      </c>
      <c r="D135" s="90">
        <f>D134</f>
        <v>0</v>
      </c>
      <c r="E135" s="30">
        <f>E134</f>
        <v>0</v>
      </c>
    </row>
    <row r="136" spans="1:5" ht="12.75" hidden="1" customHeight="1" outlineLevel="1" x14ac:dyDescent="0.2">
      <c r="A136" s="89" t="str">
        <f>"      "&amp;Labels!B108</f>
        <v xml:space="preserve">      Common</v>
      </c>
      <c r="B136" s="90">
        <f>0</f>
        <v>0</v>
      </c>
      <c r="C136" s="90">
        <f>B196</f>
        <v>1</v>
      </c>
      <c r="D136" s="90">
        <f>C196</f>
        <v>1</v>
      </c>
      <c r="E136" s="30">
        <f>SUM(B136:D136)</f>
        <v>2</v>
      </c>
    </row>
    <row r="137" spans="1:5" ht="12.75" hidden="1" customHeight="1" outlineLevel="1" x14ac:dyDescent="0.2">
      <c r="A137" s="89" t="str">
        <f>"      "&amp;Labels!B109</f>
        <v xml:space="preserve">      Warrant</v>
      </c>
      <c r="B137" s="90">
        <f>0</f>
        <v>0</v>
      </c>
      <c r="C137" s="90">
        <f>B197</f>
        <v>0</v>
      </c>
      <c r="D137" s="90">
        <f>C197</f>
        <v>0</v>
      </c>
      <c r="E137" s="30">
        <f>SUM(B137:D137)</f>
        <v>0</v>
      </c>
    </row>
    <row r="138" spans="1:5" ht="12.75" hidden="1" customHeight="1" outlineLevel="1" x14ac:dyDescent="0.2">
      <c r="A138" s="89" t="str">
        <f>"      "&amp;Labels!B110</f>
        <v xml:space="preserve">      Option</v>
      </c>
      <c r="B138" s="90"/>
      <c r="C138" s="90"/>
      <c r="D138" s="90"/>
      <c r="E138" s="30"/>
    </row>
    <row r="139" spans="1:5" ht="12.75" hidden="1" customHeight="1" outlineLevel="1" x14ac:dyDescent="0.2">
      <c r="A139" s="89" t="str">
        <f>"         "&amp;Labels!B111</f>
        <v xml:space="preserve">         Series B</v>
      </c>
      <c r="B139" s="91">
        <f>0</f>
        <v>0</v>
      </c>
      <c r="C139" s="91">
        <f>B199</f>
        <v>0</v>
      </c>
      <c r="D139" s="91">
        <f>C199</f>
        <v>0</v>
      </c>
      <c r="E139" s="30">
        <f>SUM(B139:D139)</f>
        <v>0</v>
      </c>
    </row>
    <row r="140" spans="1:5" ht="12.75" hidden="1" customHeight="1" outlineLevel="1" x14ac:dyDescent="0.2">
      <c r="A140" s="89" t="str">
        <f>"         "&amp;Labels!B112</f>
        <v xml:space="preserve">         Series A</v>
      </c>
      <c r="B140" s="91">
        <f>0</f>
        <v>0</v>
      </c>
      <c r="C140" s="91">
        <f>B200</f>
        <v>0</v>
      </c>
      <c r="D140" s="91">
        <f>C200</f>
        <v>0</v>
      </c>
      <c r="E140" s="30">
        <f>SUM(B140:D140)</f>
        <v>0</v>
      </c>
    </row>
    <row r="141" spans="1:5" ht="12.75" hidden="1" customHeight="1" outlineLevel="1" x14ac:dyDescent="0.2">
      <c r="A141" s="89" t="str">
        <f>"         "&amp;Labels!C110</f>
        <v xml:space="preserve">         Subtotal</v>
      </c>
      <c r="B141" s="90">
        <f>SUM(B139:B140)</f>
        <v>0</v>
      </c>
      <c r="C141" s="90">
        <f>SUM(C139:C140)</f>
        <v>0</v>
      </c>
      <c r="D141" s="90">
        <f>SUM(D139:D140)</f>
        <v>0</v>
      </c>
      <c r="E141" s="30">
        <f>SUM(E139:E140)</f>
        <v>0</v>
      </c>
    </row>
    <row r="142" spans="1:5" ht="12.75" hidden="1" customHeight="1" outlineLevel="1" x14ac:dyDescent="0.2">
      <c r="A142" s="28" t="str">
        <f>"      "&amp;Labels!C102</f>
        <v xml:space="preserve">      Total</v>
      </c>
      <c r="B142" s="70">
        <f>SUM(B132,B135:B137,B141)</f>
        <v>0</v>
      </c>
      <c r="C142" s="70">
        <f>SUM(C132,C135:C137,C141)</f>
        <v>1</v>
      </c>
      <c r="D142" s="70">
        <f>SUM(D132,D135:D137,D141)</f>
        <v>1</v>
      </c>
      <c r="E142" s="30">
        <f>SUM(E132,E135:E137,E141)</f>
        <v>2</v>
      </c>
    </row>
    <row r="143" spans="1:5" ht="12.75" hidden="1" customHeight="1" outlineLevel="1" x14ac:dyDescent="0.2">
      <c r="A143" s="28" t="str">
        <f>"   "&amp;Labels!B92</f>
        <v xml:space="preserve">   New Sales</v>
      </c>
      <c r="B143" s="70"/>
      <c r="C143" s="70"/>
      <c r="D143" s="70"/>
      <c r="E143" s="30"/>
    </row>
    <row r="144" spans="1:5" ht="12.75" hidden="1" customHeight="1" outlineLevel="1" x14ac:dyDescent="0.2">
      <c r="A144" s="89" t="str">
        <f>"      "&amp;Labels!B103</f>
        <v xml:space="preserve">      Conv Note</v>
      </c>
      <c r="B144" s="90"/>
      <c r="C144" s="90"/>
      <c r="D144" s="90"/>
      <c r="E144" s="30"/>
    </row>
    <row r="145" spans="1:5" ht="12.75" hidden="1" customHeight="1" outlineLevel="1" x14ac:dyDescent="0.2">
      <c r="A145" s="89" t="str">
        <f>"         "&amp;Labels!B104</f>
        <v xml:space="preserve">         Series B</v>
      </c>
      <c r="B145" s="91">
        <f t="shared" ref="B145:D146" si="10">B68</f>
        <v>0</v>
      </c>
      <c r="C145" s="91">
        <f t="shared" si="10"/>
        <v>0</v>
      </c>
      <c r="D145" s="91">
        <f t="shared" si="10"/>
        <v>0</v>
      </c>
      <c r="E145" s="30">
        <f>SUM(B145:D145)</f>
        <v>0</v>
      </c>
    </row>
    <row r="146" spans="1:5" ht="12.75" hidden="1" customHeight="1" outlineLevel="1" x14ac:dyDescent="0.2">
      <c r="A146" s="89" t="str">
        <f>"         "&amp;Labels!B105</f>
        <v xml:space="preserve">         Series A</v>
      </c>
      <c r="B146" s="91">
        <f t="shared" si="10"/>
        <v>0</v>
      </c>
      <c r="C146" s="91">
        <f t="shared" si="10"/>
        <v>0</v>
      </c>
      <c r="D146" s="91">
        <f t="shared" si="10"/>
        <v>0</v>
      </c>
      <c r="E146" s="30">
        <f>SUM(B146:D146)</f>
        <v>0</v>
      </c>
    </row>
    <row r="147" spans="1:5" ht="12.75" hidden="1" customHeight="1" outlineLevel="1" x14ac:dyDescent="0.2">
      <c r="A147" s="89" t="str">
        <f>"         "&amp;Labels!C103</f>
        <v xml:space="preserve">         Subtotal</v>
      </c>
      <c r="B147" s="90">
        <f>SUM(B145:B146)</f>
        <v>0</v>
      </c>
      <c r="C147" s="90">
        <f>SUM(C145:C146)</f>
        <v>0</v>
      </c>
      <c r="D147" s="90">
        <f>SUM(D145:D146)</f>
        <v>0</v>
      </c>
      <c r="E147" s="30">
        <f>SUM(E145:E146)</f>
        <v>0</v>
      </c>
    </row>
    <row r="148" spans="1:5" ht="12.75" hidden="1" customHeight="1" outlineLevel="1" x14ac:dyDescent="0.2">
      <c r="A148" s="89" t="str">
        <f>"      "&amp;Labels!B106</f>
        <v xml:space="preserve">      Preferred</v>
      </c>
      <c r="B148" s="90"/>
      <c r="C148" s="90"/>
      <c r="D148" s="90"/>
      <c r="E148" s="30"/>
    </row>
    <row r="149" spans="1:5" ht="12.75" hidden="1" customHeight="1" outlineLevel="1" x14ac:dyDescent="0.2">
      <c r="A149" s="89" t="str">
        <f>"         "&amp;Labels!B107</f>
        <v xml:space="preserve">         Series A</v>
      </c>
      <c r="B149" s="91">
        <f>B72</f>
        <v>0</v>
      </c>
      <c r="C149" s="91">
        <f>C72</f>
        <v>0</v>
      </c>
      <c r="D149" s="91">
        <f>D72</f>
        <v>0</v>
      </c>
      <c r="E149" s="30">
        <f>SUM(B149:D149)</f>
        <v>0</v>
      </c>
    </row>
    <row r="150" spans="1:5" ht="12.75" hidden="1" customHeight="1" outlineLevel="1" x14ac:dyDescent="0.2">
      <c r="A150" s="89" t="str">
        <f>"         "&amp;Labels!C106</f>
        <v xml:space="preserve">         Subtotal</v>
      </c>
      <c r="B150" s="90">
        <f>B149</f>
        <v>0</v>
      </c>
      <c r="C150" s="90">
        <f>C149</f>
        <v>0</v>
      </c>
      <c r="D150" s="90">
        <f>D149</f>
        <v>0</v>
      </c>
      <c r="E150" s="30">
        <f>E149</f>
        <v>0</v>
      </c>
    </row>
    <row r="151" spans="1:5" ht="12.75" hidden="1" customHeight="1" outlineLevel="1" x14ac:dyDescent="0.2">
      <c r="A151" s="89" t="str">
        <f>"      "&amp;Labels!B108</f>
        <v xml:space="preserve">      Common</v>
      </c>
      <c r="B151" s="90">
        <f t="shared" ref="B151:D152" si="11">B74</f>
        <v>1</v>
      </c>
      <c r="C151" s="90">
        <f t="shared" si="11"/>
        <v>0</v>
      </c>
      <c r="D151" s="90">
        <f t="shared" si="11"/>
        <v>0</v>
      </c>
      <c r="E151" s="30">
        <f>SUM(B151:D151)</f>
        <v>1</v>
      </c>
    </row>
    <row r="152" spans="1:5" ht="12.75" hidden="1" customHeight="1" outlineLevel="1" x14ac:dyDescent="0.2">
      <c r="A152" s="89" t="str">
        <f>"      "&amp;Labels!B109</f>
        <v xml:space="preserve">      Warrant</v>
      </c>
      <c r="B152" s="90">
        <f t="shared" si="11"/>
        <v>0</v>
      </c>
      <c r="C152" s="90">
        <f t="shared" si="11"/>
        <v>0</v>
      </c>
      <c r="D152" s="90">
        <f t="shared" si="11"/>
        <v>0</v>
      </c>
      <c r="E152" s="30">
        <f>SUM(B152:D152)</f>
        <v>0</v>
      </c>
    </row>
    <row r="153" spans="1:5" ht="12.75" hidden="1" customHeight="1" outlineLevel="1" x14ac:dyDescent="0.2">
      <c r="A153" s="89" t="str">
        <f>"      "&amp;Labels!B110</f>
        <v xml:space="preserve">      Option</v>
      </c>
      <c r="B153" s="90"/>
      <c r="C153" s="90"/>
      <c r="D153" s="90"/>
      <c r="E153" s="30"/>
    </row>
    <row r="154" spans="1:5" ht="12.75" hidden="1" customHeight="1" outlineLevel="1" x14ac:dyDescent="0.2">
      <c r="A154" s="89" t="str">
        <f>"         "&amp;Labels!B111</f>
        <v xml:space="preserve">         Series B</v>
      </c>
      <c r="B154" s="91">
        <f t="shared" ref="B154:D155" si="12">B77</f>
        <v>0</v>
      </c>
      <c r="C154" s="91">
        <f t="shared" si="12"/>
        <v>0</v>
      </c>
      <c r="D154" s="91">
        <f t="shared" si="12"/>
        <v>0</v>
      </c>
      <c r="E154" s="30">
        <f>SUM(B154:D154)</f>
        <v>0</v>
      </c>
    </row>
    <row r="155" spans="1:5" ht="12.75" hidden="1" customHeight="1" outlineLevel="1" x14ac:dyDescent="0.2">
      <c r="A155" s="89" t="str">
        <f>"         "&amp;Labels!B112</f>
        <v xml:space="preserve">         Series A</v>
      </c>
      <c r="B155" s="91">
        <f t="shared" si="12"/>
        <v>0</v>
      </c>
      <c r="C155" s="91">
        <f t="shared" si="12"/>
        <v>0</v>
      </c>
      <c r="D155" s="91">
        <f t="shared" si="12"/>
        <v>0</v>
      </c>
      <c r="E155" s="30">
        <f>SUM(B155:D155)</f>
        <v>0</v>
      </c>
    </row>
    <row r="156" spans="1:5" ht="12.75" hidden="1" customHeight="1" outlineLevel="1" x14ac:dyDescent="0.2">
      <c r="A156" s="89" t="str">
        <f>"         "&amp;Labels!C110</f>
        <v xml:space="preserve">         Subtotal</v>
      </c>
      <c r="B156" s="90">
        <f>SUM(B154:B155)</f>
        <v>0</v>
      </c>
      <c r="C156" s="90">
        <f>SUM(C154:C155)</f>
        <v>0</v>
      </c>
      <c r="D156" s="90">
        <f>SUM(D154:D155)</f>
        <v>0</v>
      </c>
      <c r="E156" s="30">
        <f>SUM(E154:E155)</f>
        <v>0</v>
      </c>
    </row>
    <row r="157" spans="1:5" ht="12.75" hidden="1" customHeight="1" outlineLevel="1" x14ac:dyDescent="0.2">
      <c r="A157" s="28" t="str">
        <f>"      "&amp;Labels!C102</f>
        <v xml:space="preserve">      Total</v>
      </c>
      <c r="B157" s="70">
        <f>SUM(B147,B150:B152,B156)</f>
        <v>1</v>
      </c>
      <c r="C157" s="70">
        <f>SUM(C147,C150:C152,C156)</f>
        <v>0</v>
      </c>
      <c r="D157" s="70">
        <f>SUM(D147,D150:D152,D156)</f>
        <v>0</v>
      </c>
      <c r="E157" s="30">
        <f>SUM(E147,E150:E152,E156)</f>
        <v>1</v>
      </c>
    </row>
    <row r="158" spans="1:5" ht="12.75" hidden="1" customHeight="1" outlineLevel="1" x14ac:dyDescent="0.2">
      <c r="A158" s="28" t="str">
        <f>"   "&amp;Labels!B93</f>
        <v xml:space="preserve">   Post Sales</v>
      </c>
      <c r="B158" s="70"/>
      <c r="C158" s="70"/>
      <c r="D158" s="70"/>
      <c r="E158" s="30"/>
    </row>
    <row r="159" spans="1:5" ht="12.75" hidden="1" customHeight="1" outlineLevel="1" x14ac:dyDescent="0.2">
      <c r="A159" s="89" t="str">
        <f>"      "&amp;Labels!B103</f>
        <v xml:space="preserve">      Conv Note</v>
      </c>
      <c r="B159" s="90"/>
      <c r="C159" s="90"/>
      <c r="D159" s="90"/>
      <c r="E159" s="30"/>
    </row>
    <row r="160" spans="1:5" ht="12.75" hidden="1" customHeight="1" outlineLevel="1" x14ac:dyDescent="0.2">
      <c r="A160" s="89" t="str">
        <f>"         "&amp;Labels!B104</f>
        <v xml:space="preserve">         Series B</v>
      </c>
      <c r="B160" s="91">
        <f t="shared" ref="B160:D161" si="13">B130+B145</f>
        <v>0</v>
      </c>
      <c r="C160" s="91">
        <f t="shared" si="13"/>
        <v>0</v>
      </c>
      <c r="D160" s="91">
        <f t="shared" si="13"/>
        <v>0</v>
      </c>
      <c r="E160" s="30">
        <f>SUM(B160:D160)</f>
        <v>0</v>
      </c>
    </row>
    <row r="161" spans="1:5" ht="12.75" hidden="1" customHeight="1" outlineLevel="1" x14ac:dyDescent="0.2">
      <c r="A161" s="89" t="str">
        <f>"         "&amp;Labels!B105</f>
        <v xml:space="preserve">         Series A</v>
      </c>
      <c r="B161" s="91">
        <f t="shared" si="13"/>
        <v>0</v>
      </c>
      <c r="C161" s="91">
        <f t="shared" si="13"/>
        <v>0</v>
      </c>
      <c r="D161" s="91">
        <f t="shared" si="13"/>
        <v>0</v>
      </c>
      <c r="E161" s="30">
        <f>SUM(B161:D161)</f>
        <v>0</v>
      </c>
    </row>
    <row r="162" spans="1:5" ht="12.75" hidden="1" customHeight="1" outlineLevel="1" x14ac:dyDescent="0.2">
      <c r="A162" s="89" t="str">
        <f>"         "&amp;Labels!C103</f>
        <v xml:space="preserve">         Subtotal</v>
      </c>
      <c r="B162" s="90">
        <f>SUM(B160:B161)</f>
        <v>0</v>
      </c>
      <c r="C162" s="90">
        <f>SUM(C160:C161)</f>
        <v>0</v>
      </c>
      <c r="D162" s="90">
        <f>SUM(D160:D161)</f>
        <v>0</v>
      </c>
      <c r="E162" s="30">
        <f>SUM(E160:E161)</f>
        <v>0</v>
      </c>
    </row>
    <row r="163" spans="1:5" ht="12.75" hidden="1" customHeight="1" outlineLevel="1" x14ac:dyDescent="0.2">
      <c r="A163" s="89" t="str">
        <f>"      "&amp;Labels!B106</f>
        <v xml:space="preserve">      Preferred</v>
      </c>
      <c r="B163" s="90"/>
      <c r="C163" s="90"/>
      <c r="D163" s="90"/>
      <c r="E163" s="30"/>
    </row>
    <row r="164" spans="1:5" ht="12.75" hidden="1" customHeight="1" outlineLevel="1" x14ac:dyDescent="0.2">
      <c r="A164" s="89" t="str">
        <f>"         "&amp;Labels!B107</f>
        <v xml:space="preserve">         Series A</v>
      </c>
      <c r="B164" s="91">
        <f>B134+B149</f>
        <v>0</v>
      </c>
      <c r="C164" s="91">
        <f>C134+C149</f>
        <v>0</v>
      </c>
      <c r="D164" s="91">
        <f>D134+D149</f>
        <v>0</v>
      </c>
      <c r="E164" s="30">
        <f>SUM(B164:D164)</f>
        <v>0</v>
      </c>
    </row>
    <row r="165" spans="1:5" ht="12.75" hidden="1" customHeight="1" outlineLevel="1" x14ac:dyDescent="0.2">
      <c r="A165" s="89" t="str">
        <f>"         "&amp;Labels!C106</f>
        <v xml:space="preserve">         Subtotal</v>
      </c>
      <c r="B165" s="90">
        <f>B164</f>
        <v>0</v>
      </c>
      <c r="C165" s="90">
        <f>C164</f>
        <v>0</v>
      </c>
      <c r="D165" s="90">
        <f>D164</f>
        <v>0</v>
      </c>
      <c r="E165" s="30">
        <f>E164</f>
        <v>0</v>
      </c>
    </row>
    <row r="166" spans="1:5" ht="12.75" hidden="1" customHeight="1" outlineLevel="1" x14ac:dyDescent="0.2">
      <c r="A166" s="89" t="str">
        <f>"      "&amp;Labels!B108</f>
        <v xml:space="preserve">      Common</v>
      </c>
      <c r="B166" s="90">
        <f t="shared" ref="B166:D167" si="14">B136+B151</f>
        <v>1</v>
      </c>
      <c r="C166" s="90">
        <f t="shared" si="14"/>
        <v>1</v>
      </c>
      <c r="D166" s="90">
        <f t="shared" si="14"/>
        <v>1</v>
      </c>
      <c r="E166" s="30">
        <f>SUM(B166:D166)</f>
        <v>3</v>
      </c>
    </row>
    <row r="167" spans="1:5" ht="12.75" hidden="1" customHeight="1" outlineLevel="1" x14ac:dyDescent="0.2">
      <c r="A167" s="89" t="str">
        <f>"      "&amp;Labels!B109</f>
        <v xml:space="preserve">      Warrant</v>
      </c>
      <c r="B167" s="90">
        <f t="shared" si="14"/>
        <v>0</v>
      </c>
      <c r="C167" s="90">
        <f t="shared" si="14"/>
        <v>0</v>
      </c>
      <c r="D167" s="90">
        <f t="shared" si="14"/>
        <v>0</v>
      </c>
      <c r="E167" s="30">
        <f>SUM(B167:D167)</f>
        <v>0</v>
      </c>
    </row>
    <row r="168" spans="1:5" ht="12.75" hidden="1" customHeight="1" outlineLevel="1" x14ac:dyDescent="0.2">
      <c r="A168" s="89" t="str">
        <f>"      "&amp;Labels!B110</f>
        <v xml:space="preserve">      Option</v>
      </c>
      <c r="B168" s="90"/>
      <c r="C168" s="90"/>
      <c r="D168" s="90"/>
      <c r="E168" s="30"/>
    </row>
    <row r="169" spans="1:5" ht="12.75" hidden="1" customHeight="1" outlineLevel="1" x14ac:dyDescent="0.2">
      <c r="A169" s="89" t="str">
        <f>"         "&amp;Labels!B111</f>
        <v xml:space="preserve">         Series B</v>
      </c>
      <c r="B169" s="91">
        <f t="shared" ref="B169:D170" si="15">B139+B154</f>
        <v>0</v>
      </c>
      <c r="C169" s="91">
        <f t="shared" si="15"/>
        <v>0</v>
      </c>
      <c r="D169" s="91">
        <f t="shared" si="15"/>
        <v>0</v>
      </c>
      <c r="E169" s="30">
        <f>SUM(B169:D169)</f>
        <v>0</v>
      </c>
    </row>
    <row r="170" spans="1:5" ht="12.75" hidden="1" customHeight="1" outlineLevel="1" x14ac:dyDescent="0.2">
      <c r="A170" s="89" t="str">
        <f>"         "&amp;Labels!B112</f>
        <v xml:space="preserve">         Series A</v>
      </c>
      <c r="B170" s="91">
        <f t="shared" si="15"/>
        <v>0</v>
      </c>
      <c r="C170" s="91">
        <f t="shared" si="15"/>
        <v>0</v>
      </c>
      <c r="D170" s="91">
        <f t="shared" si="15"/>
        <v>0</v>
      </c>
      <c r="E170" s="30">
        <f>SUM(B170:D170)</f>
        <v>0</v>
      </c>
    </row>
    <row r="171" spans="1:5" ht="12.75" hidden="1" customHeight="1" outlineLevel="1" x14ac:dyDescent="0.2">
      <c r="A171" s="89" t="str">
        <f>"         "&amp;Labels!C110</f>
        <v xml:space="preserve">         Subtotal</v>
      </c>
      <c r="B171" s="90">
        <f>SUM(B169:B170)</f>
        <v>0</v>
      </c>
      <c r="C171" s="90">
        <f>SUM(C169:C170)</f>
        <v>0</v>
      </c>
      <c r="D171" s="90">
        <f>SUM(D169:D170)</f>
        <v>0</v>
      </c>
      <c r="E171" s="30">
        <f>SUM(E169:E170)</f>
        <v>0</v>
      </c>
    </row>
    <row r="172" spans="1:5" ht="12.75" hidden="1" customHeight="1" outlineLevel="1" x14ac:dyDescent="0.2">
      <c r="A172" s="28" t="str">
        <f>"      "&amp;Labels!C102</f>
        <v xml:space="preserve">      Total</v>
      </c>
      <c r="B172" s="70">
        <f>SUM(B162,B165:B167,B171)</f>
        <v>1</v>
      </c>
      <c r="C172" s="70">
        <f>SUM(C162,C165:C167,C171)</f>
        <v>1</v>
      </c>
      <c r="D172" s="70">
        <f>SUM(D162,D165:D167,D171)</f>
        <v>1</v>
      </c>
      <c r="E172" s="30">
        <f>SUM(E162,E165:E167,E171)</f>
        <v>3</v>
      </c>
    </row>
    <row r="173" spans="1:5" ht="12.75" hidden="1" customHeight="1" outlineLevel="1" x14ac:dyDescent="0.2">
      <c r="A173" s="28" t="str">
        <f>"   "&amp;Labels!B94</f>
        <v xml:space="preserve">   Convert</v>
      </c>
      <c r="B173" s="70"/>
      <c r="C173" s="70"/>
      <c r="D173" s="70"/>
      <c r="E173" s="30"/>
    </row>
    <row r="174" spans="1:5" ht="12.75" hidden="1" customHeight="1" outlineLevel="1" x14ac:dyDescent="0.2">
      <c r="A174" s="89" t="str">
        <f>"      "&amp;Labels!B103</f>
        <v xml:space="preserve">      Conv Note</v>
      </c>
      <c r="B174" s="90"/>
      <c r="C174" s="90"/>
      <c r="D174" s="90"/>
      <c r="E174" s="30"/>
    </row>
    <row r="175" spans="1:5" ht="12.75" hidden="1" customHeight="1" outlineLevel="1" x14ac:dyDescent="0.2">
      <c r="A175" s="89" t="str">
        <f>"         "&amp;Labels!B104</f>
        <v xml:space="preserve">         Series B</v>
      </c>
      <c r="B175" s="91">
        <f t="shared" ref="B175:D176" si="16">B98</f>
        <v>0</v>
      </c>
      <c r="C175" s="91">
        <f t="shared" si="16"/>
        <v>0</v>
      </c>
      <c r="D175" s="91">
        <f t="shared" si="16"/>
        <v>0</v>
      </c>
      <c r="E175" s="30">
        <f>SUM(B175:D175)</f>
        <v>0</v>
      </c>
    </row>
    <row r="176" spans="1:5" ht="12.75" hidden="1" customHeight="1" outlineLevel="1" x14ac:dyDescent="0.2">
      <c r="A176" s="89" t="str">
        <f>"         "&amp;Labels!B105</f>
        <v xml:space="preserve">         Series A</v>
      </c>
      <c r="B176" s="91">
        <f t="shared" si="16"/>
        <v>0</v>
      </c>
      <c r="C176" s="91">
        <f t="shared" si="16"/>
        <v>0</v>
      </c>
      <c r="D176" s="91">
        <f t="shared" si="16"/>
        <v>0</v>
      </c>
      <c r="E176" s="30">
        <f>SUM(B176:D176)</f>
        <v>0</v>
      </c>
    </row>
    <row r="177" spans="1:5" ht="12.75" hidden="1" customHeight="1" outlineLevel="1" x14ac:dyDescent="0.2">
      <c r="A177" s="89" t="str">
        <f>"         "&amp;Labels!C103</f>
        <v xml:space="preserve">         Subtotal</v>
      </c>
      <c r="B177" s="90">
        <f>SUM(B175:B176)</f>
        <v>0</v>
      </c>
      <c r="C177" s="90">
        <f>SUM(C175:C176)</f>
        <v>0</v>
      </c>
      <c r="D177" s="90">
        <f>SUM(D175:D176)</f>
        <v>0</v>
      </c>
      <c r="E177" s="30">
        <f>SUM(E175:E176)</f>
        <v>0</v>
      </c>
    </row>
    <row r="178" spans="1:5" ht="12.75" hidden="1" customHeight="1" outlineLevel="1" x14ac:dyDescent="0.2">
      <c r="A178" s="89" t="str">
        <f>"      "&amp;Labels!B106</f>
        <v xml:space="preserve">      Preferred</v>
      </c>
      <c r="B178" s="90"/>
      <c r="C178" s="90"/>
      <c r="D178" s="90"/>
      <c r="E178" s="30"/>
    </row>
    <row r="179" spans="1:5" ht="12.75" hidden="1" customHeight="1" outlineLevel="1" x14ac:dyDescent="0.2">
      <c r="A179" s="89" t="str">
        <f>"         "&amp;Labels!B107</f>
        <v xml:space="preserve">         Series A</v>
      </c>
      <c r="B179" s="91">
        <f>B102</f>
        <v>0</v>
      </c>
      <c r="C179" s="91">
        <f>C102</f>
        <v>0</v>
      </c>
      <c r="D179" s="91">
        <f>D102</f>
        <v>0</v>
      </c>
      <c r="E179" s="30">
        <f>SUM(B179:D179)</f>
        <v>0</v>
      </c>
    </row>
    <row r="180" spans="1:5" ht="12.75" hidden="1" customHeight="1" outlineLevel="1" x14ac:dyDescent="0.2">
      <c r="A180" s="89" t="str">
        <f>"         "&amp;Labels!C106</f>
        <v xml:space="preserve">         Subtotal</v>
      </c>
      <c r="B180" s="90">
        <f>B179</f>
        <v>0</v>
      </c>
      <c r="C180" s="90">
        <f>C179</f>
        <v>0</v>
      </c>
      <c r="D180" s="90">
        <f>D179</f>
        <v>0</v>
      </c>
      <c r="E180" s="30">
        <f>E179</f>
        <v>0</v>
      </c>
    </row>
    <row r="181" spans="1:5" ht="12.75" hidden="1" customHeight="1" outlineLevel="1" x14ac:dyDescent="0.2">
      <c r="A181" s="89" t="str">
        <f>"      "&amp;Labels!B108</f>
        <v xml:space="preserve">      Common</v>
      </c>
      <c r="B181" s="90">
        <f t="shared" ref="B181:D182" si="17">B104</f>
        <v>0</v>
      </c>
      <c r="C181" s="90">
        <f t="shared" si="17"/>
        <v>0</v>
      </c>
      <c r="D181" s="90">
        <f t="shared" si="17"/>
        <v>0</v>
      </c>
      <c r="E181" s="30">
        <f>SUM(B181:D181)</f>
        <v>0</v>
      </c>
    </row>
    <row r="182" spans="1:5" ht="12.75" hidden="1" customHeight="1" outlineLevel="1" x14ac:dyDescent="0.2">
      <c r="A182" s="89" t="str">
        <f>"      "&amp;Labels!B109</f>
        <v xml:space="preserve">      Warrant</v>
      </c>
      <c r="B182" s="90">
        <f t="shared" si="17"/>
        <v>0</v>
      </c>
      <c r="C182" s="90">
        <f t="shared" si="17"/>
        <v>0</v>
      </c>
      <c r="D182" s="90">
        <f t="shared" si="17"/>
        <v>0</v>
      </c>
      <c r="E182" s="30">
        <f>SUM(B182:D182)</f>
        <v>0</v>
      </c>
    </row>
    <row r="183" spans="1:5" ht="12.75" hidden="1" customHeight="1" outlineLevel="1" x14ac:dyDescent="0.2">
      <c r="A183" s="89" t="str">
        <f>"      "&amp;Labels!B110</f>
        <v xml:space="preserve">      Option</v>
      </c>
      <c r="B183" s="90"/>
      <c r="C183" s="90"/>
      <c r="D183" s="90"/>
      <c r="E183" s="30"/>
    </row>
    <row r="184" spans="1:5" ht="12.75" hidden="1" customHeight="1" outlineLevel="1" x14ac:dyDescent="0.2">
      <c r="A184" s="89" t="str">
        <f>"         "&amp;Labels!B111</f>
        <v xml:space="preserve">         Series B</v>
      </c>
      <c r="B184" s="91">
        <f t="shared" ref="B184:D185" si="18">B107</f>
        <v>0</v>
      </c>
      <c r="C184" s="91">
        <f t="shared" si="18"/>
        <v>0</v>
      </c>
      <c r="D184" s="91">
        <f t="shared" si="18"/>
        <v>0</v>
      </c>
      <c r="E184" s="30">
        <f>SUM(B184:D184)</f>
        <v>0</v>
      </c>
    </row>
    <row r="185" spans="1:5" ht="12.75" hidden="1" customHeight="1" outlineLevel="1" x14ac:dyDescent="0.2">
      <c r="A185" s="89" t="str">
        <f>"         "&amp;Labels!B112</f>
        <v xml:space="preserve">         Series A</v>
      </c>
      <c r="B185" s="91">
        <f t="shared" si="18"/>
        <v>0</v>
      </c>
      <c r="C185" s="91">
        <f t="shared" si="18"/>
        <v>0</v>
      </c>
      <c r="D185" s="91">
        <f t="shared" si="18"/>
        <v>0</v>
      </c>
      <c r="E185" s="30">
        <f>SUM(B185:D185)</f>
        <v>0</v>
      </c>
    </row>
    <row r="186" spans="1:5" ht="12.75" hidden="1" customHeight="1" outlineLevel="1" x14ac:dyDescent="0.2">
      <c r="A186" s="89" t="str">
        <f>"         "&amp;Labels!C110</f>
        <v xml:space="preserve">         Subtotal</v>
      </c>
      <c r="B186" s="90">
        <f>SUM(B184:B185)</f>
        <v>0</v>
      </c>
      <c r="C186" s="90">
        <f>SUM(C184:C185)</f>
        <v>0</v>
      </c>
      <c r="D186" s="90">
        <f>SUM(D184:D185)</f>
        <v>0</v>
      </c>
      <c r="E186" s="30">
        <f>SUM(E184:E185)</f>
        <v>0</v>
      </c>
    </row>
    <row r="187" spans="1:5" ht="12.75" hidden="1" customHeight="1" outlineLevel="1" x14ac:dyDescent="0.2">
      <c r="A187" s="28" t="str">
        <f>"      "&amp;Labels!C102</f>
        <v xml:space="preserve">      Total</v>
      </c>
      <c r="B187" s="70">
        <f>SUM(B177,B180:B182,B186)</f>
        <v>0</v>
      </c>
      <c r="C187" s="70">
        <f>SUM(C177,C180:C182,C186)</f>
        <v>0</v>
      </c>
      <c r="D187" s="70">
        <f>SUM(D177,D180:D182,D186)</f>
        <v>0</v>
      </c>
      <c r="E187" s="30">
        <f>SUM(E177,E180:E182,E186)</f>
        <v>0</v>
      </c>
    </row>
    <row r="188" spans="1:5" ht="12.75" hidden="1" customHeight="1" outlineLevel="1" x14ac:dyDescent="0.2">
      <c r="A188" s="28" t="str">
        <f>"   "&amp;Labels!B95</f>
        <v xml:space="preserve">   End</v>
      </c>
      <c r="B188" s="70"/>
      <c r="C188" s="70"/>
      <c r="D188" s="70"/>
      <c r="E188" s="30"/>
    </row>
    <row r="189" spans="1:5" ht="12.75" hidden="1" customHeight="1" outlineLevel="1" x14ac:dyDescent="0.2">
      <c r="A189" s="89" t="str">
        <f>"      "&amp;Labels!B103</f>
        <v xml:space="preserve">      Conv Note</v>
      </c>
      <c r="B189" s="90"/>
      <c r="C189" s="90"/>
      <c r="D189" s="90"/>
      <c r="E189" s="30"/>
    </row>
    <row r="190" spans="1:5" ht="12.75" hidden="1" customHeight="1" outlineLevel="1" x14ac:dyDescent="0.2">
      <c r="A190" s="89" t="str">
        <f>"         "&amp;Labels!B104</f>
        <v xml:space="preserve">         Series B</v>
      </c>
      <c r="B190" s="91">
        <f t="shared" ref="B190:D191" si="19">B160+B175</f>
        <v>0</v>
      </c>
      <c r="C190" s="91">
        <f t="shared" si="19"/>
        <v>0</v>
      </c>
      <c r="D190" s="91">
        <f t="shared" si="19"/>
        <v>0</v>
      </c>
      <c r="E190" s="30">
        <f>SUM(B190:D190)</f>
        <v>0</v>
      </c>
    </row>
    <row r="191" spans="1:5" ht="12.75" hidden="1" customHeight="1" outlineLevel="1" x14ac:dyDescent="0.2">
      <c r="A191" s="89" t="str">
        <f>"         "&amp;Labels!B105</f>
        <v xml:space="preserve">         Series A</v>
      </c>
      <c r="B191" s="91">
        <f t="shared" si="19"/>
        <v>0</v>
      </c>
      <c r="C191" s="91">
        <f t="shared" si="19"/>
        <v>0</v>
      </c>
      <c r="D191" s="91">
        <f t="shared" si="19"/>
        <v>0</v>
      </c>
      <c r="E191" s="30">
        <f>SUM(B191:D191)</f>
        <v>0</v>
      </c>
    </row>
    <row r="192" spans="1:5" ht="12.75" hidden="1" customHeight="1" outlineLevel="1" x14ac:dyDescent="0.2">
      <c r="A192" s="89" t="str">
        <f>"         "&amp;Labels!C103</f>
        <v xml:space="preserve">         Subtotal</v>
      </c>
      <c r="B192" s="90">
        <f>SUM(B190:B191)</f>
        <v>0</v>
      </c>
      <c r="C192" s="90">
        <f>SUM(C190:C191)</f>
        <v>0</v>
      </c>
      <c r="D192" s="90">
        <f>SUM(D190:D191)</f>
        <v>0</v>
      </c>
      <c r="E192" s="30">
        <f>SUM(E190:E191)</f>
        <v>0</v>
      </c>
    </row>
    <row r="193" spans="1:5" ht="12.75" hidden="1" customHeight="1" outlineLevel="1" x14ac:dyDescent="0.2">
      <c r="A193" s="89" t="str">
        <f>"      "&amp;Labels!B106</f>
        <v xml:space="preserve">      Preferred</v>
      </c>
      <c r="B193" s="90"/>
      <c r="C193" s="90"/>
      <c r="D193" s="90"/>
      <c r="E193" s="30"/>
    </row>
    <row r="194" spans="1:5" ht="12.75" hidden="1" customHeight="1" outlineLevel="1" x14ac:dyDescent="0.2">
      <c r="A194" s="89" t="str">
        <f>"         "&amp;Labels!B107</f>
        <v xml:space="preserve">         Series A</v>
      </c>
      <c r="B194" s="91">
        <f>B164+B179</f>
        <v>0</v>
      </c>
      <c r="C194" s="91">
        <f>C164+C179</f>
        <v>0</v>
      </c>
      <c r="D194" s="91">
        <f>D164+D179</f>
        <v>0</v>
      </c>
      <c r="E194" s="30">
        <f>SUM(B194:D194)</f>
        <v>0</v>
      </c>
    </row>
    <row r="195" spans="1:5" ht="12.75" hidden="1" customHeight="1" outlineLevel="1" x14ac:dyDescent="0.2">
      <c r="A195" s="89" t="str">
        <f>"         "&amp;Labels!C106</f>
        <v xml:space="preserve">         Subtotal</v>
      </c>
      <c r="B195" s="90">
        <f>B194</f>
        <v>0</v>
      </c>
      <c r="C195" s="90">
        <f>C194</f>
        <v>0</v>
      </c>
      <c r="D195" s="90">
        <f>D194</f>
        <v>0</v>
      </c>
      <c r="E195" s="30">
        <f>E194</f>
        <v>0</v>
      </c>
    </row>
    <row r="196" spans="1:5" ht="12.75" hidden="1" customHeight="1" outlineLevel="1" x14ac:dyDescent="0.2">
      <c r="A196" s="89" t="str">
        <f>"      "&amp;Labels!B108</f>
        <v xml:space="preserve">      Common</v>
      </c>
      <c r="B196" s="90">
        <f t="shared" ref="B196:D197" si="20">B166+B181</f>
        <v>1</v>
      </c>
      <c r="C196" s="90">
        <f t="shared" si="20"/>
        <v>1</v>
      </c>
      <c r="D196" s="90">
        <f t="shared" si="20"/>
        <v>1</v>
      </c>
      <c r="E196" s="30">
        <f>SUM(B196:D196)</f>
        <v>3</v>
      </c>
    </row>
    <row r="197" spans="1:5" ht="12.75" hidden="1" customHeight="1" outlineLevel="1" x14ac:dyDescent="0.2">
      <c r="A197" s="89" t="str">
        <f>"      "&amp;Labels!B109</f>
        <v xml:space="preserve">      Warrant</v>
      </c>
      <c r="B197" s="90">
        <f t="shared" si="20"/>
        <v>0</v>
      </c>
      <c r="C197" s="90">
        <f t="shared" si="20"/>
        <v>0</v>
      </c>
      <c r="D197" s="90">
        <f t="shared" si="20"/>
        <v>0</v>
      </c>
      <c r="E197" s="30">
        <f>SUM(B197:D197)</f>
        <v>0</v>
      </c>
    </row>
    <row r="198" spans="1:5" ht="12.75" hidden="1" customHeight="1" outlineLevel="1" x14ac:dyDescent="0.2">
      <c r="A198" s="89" t="str">
        <f>"      "&amp;Labels!B110</f>
        <v xml:space="preserve">      Option</v>
      </c>
      <c r="B198" s="90"/>
      <c r="C198" s="90"/>
      <c r="D198" s="90"/>
      <c r="E198" s="30"/>
    </row>
    <row r="199" spans="1:5" ht="12.75" hidden="1" customHeight="1" outlineLevel="1" x14ac:dyDescent="0.2">
      <c r="A199" s="89" t="str">
        <f>"         "&amp;Labels!B111</f>
        <v xml:space="preserve">         Series B</v>
      </c>
      <c r="B199" s="91">
        <f t="shared" ref="B199:D200" si="21">B169+B184</f>
        <v>0</v>
      </c>
      <c r="C199" s="91">
        <f t="shared" si="21"/>
        <v>0</v>
      </c>
      <c r="D199" s="91">
        <f t="shared" si="21"/>
        <v>0</v>
      </c>
      <c r="E199" s="30">
        <f>SUM(B199:D199)</f>
        <v>0</v>
      </c>
    </row>
    <row r="200" spans="1:5" ht="12.75" hidden="1" customHeight="1" outlineLevel="1" x14ac:dyDescent="0.2">
      <c r="A200" s="89" t="str">
        <f>"         "&amp;Labels!B112</f>
        <v xml:space="preserve">         Series A</v>
      </c>
      <c r="B200" s="91">
        <f t="shared" si="21"/>
        <v>0</v>
      </c>
      <c r="C200" s="91">
        <f t="shared" si="21"/>
        <v>0</v>
      </c>
      <c r="D200" s="91">
        <f t="shared" si="21"/>
        <v>0</v>
      </c>
      <c r="E200" s="30">
        <f>SUM(B200:D200)</f>
        <v>0</v>
      </c>
    </row>
    <row r="201" spans="1:5" ht="12.75" hidden="1" customHeight="1" outlineLevel="1" x14ac:dyDescent="0.2">
      <c r="A201" s="89" t="str">
        <f>"         "&amp;Labels!C110</f>
        <v xml:space="preserve">         Subtotal</v>
      </c>
      <c r="B201" s="90">
        <f>SUM(B199:B200)</f>
        <v>0</v>
      </c>
      <c r="C201" s="90">
        <f>SUM(C199:C200)</f>
        <v>0</v>
      </c>
      <c r="D201" s="90">
        <f>SUM(D199:D200)</f>
        <v>0</v>
      </c>
      <c r="E201" s="30">
        <f>SUM(E199:E200)</f>
        <v>0</v>
      </c>
    </row>
    <row r="202" spans="1:5" ht="12.75" hidden="1" customHeight="1" outlineLevel="1" x14ac:dyDescent="0.2">
      <c r="A202" s="35" t="str">
        <f>"      "&amp;Labels!C102</f>
        <v xml:space="preserve">      Total</v>
      </c>
      <c r="B202" s="93">
        <f>SUM(B192,B195:B197,B201)</f>
        <v>1</v>
      </c>
      <c r="C202" s="93">
        <f>SUM(C192,C195:C197,C201)</f>
        <v>1</v>
      </c>
      <c r="D202" s="93">
        <f>SUM(D192,D195:D197,D201)</f>
        <v>1</v>
      </c>
      <c r="E202" s="32">
        <f>SUM(E192,E195:E197,E201)</f>
        <v>3</v>
      </c>
    </row>
    <row r="203" spans="1:5" ht="12.75" hidden="1" customHeight="1" outlineLevel="1" x14ac:dyDescent="0.2"/>
    <row r="204" spans="1:5" ht="12.75" hidden="1" customHeight="1" outlineLevel="1" collapsed="1" x14ac:dyDescent="0.2"/>
    <row r="205" spans="1:5" ht="12.75" customHeight="1" collapsed="1" x14ac:dyDescent="0.2"/>
    <row r="206" spans="1:5" ht="12.75" customHeight="1" x14ac:dyDescent="0.2">
      <c r="A206" s="262" t="str">
        <f>"Net Investment"</f>
        <v>Net Investment</v>
      </c>
      <c r="B206" s="262"/>
    </row>
    <row r="207" spans="1:5" ht="12.75" hidden="1" customHeight="1" outlineLevel="1" x14ac:dyDescent="0.2">
      <c r="A207" s="1" t="str">
        <f>" "</f>
        <v xml:space="preserve"> </v>
      </c>
    </row>
    <row r="208" spans="1:5" ht="12.75" hidden="1" customHeight="1" outlineLevel="1" x14ac:dyDescent="0.2">
      <c r="B208" s="6" t="str">
        <f>Labels!B98</f>
        <v>Seed</v>
      </c>
      <c r="C208" s="7" t="str">
        <f>Labels!B99</f>
        <v>Round A</v>
      </c>
      <c r="D208" s="8" t="str">
        <f>Labels!B100</f>
        <v>Exit</v>
      </c>
    </row>
    <row r="209" spans="1:5" ht="12.75" hidden="1" customHeight="1" outlineLevel="1" x14ac:dyDescent="0.2">
      <c r="A209" s="4" t="str">
        <f>Labels!B20</f>
        <v>Event Date</v>
      </c>
      <c r="B209" s="94">
        <f>Inputs!B14</f>
        <v>40391</v>
      </c>
      <c r="C209" s="94">
        <f>Inputs!C14</f>
        <v>40725</v>
      </c>
      <c r="D209" s="95">
        <f>Inputs!D14</f>
        <v>41061</v>
      </c>
    </row>
    <row r="210" spans="1:5" ht="12.75" hidden="1" customHeight="1" outlineLevel="1" x14ac:dyDescent="0.2"/>
    <row r="211" spans="1:5" ht="12.75" hidden="1" customHeight="1" outlineLevel="1" x14ac:dyDescent="0.2">
      <c r="A211" s="11" t="str">
        <f>Labels!B39</f>
        <v>Net Investment</v>
      </c>
      <c r="B211" s="26"/>
      <c r="C211" s="26"/>
      <c r="D211" s="26"/>
      <c r="E211" s="27"/>
    </row>
    <row r="212" spans="1:5" ht="12.75" hidden="1" customHeight="1" outlineLevel="1" x14ac:dyDescent="0.2">
      <c r="A212" s="28" t="str">
        <f>"   "&amp;Labels!B91</f>
        <v xml:space="preserve">   Start</v>
      </c>
      <c r="B212" s="70"/>
      <c r="C212" s="70"/>
      <c r="D212" s="70"/>
      <c r="E212" s="30"/>
    </row>
    <row r="213" spans="1:5" ht="12.75" hidden="1" customHeight="1" outlineLevel="1" x14ac:dyDescent="0.2">
      <c r="A213" s="89" t="str">
        <f>"      "&amp;Labels!B103</f>
        <v xml:space="preserve">      Conv Note</v>
      </c>
      <c r="B213" s="90"/>
      <c r="C213" s="90"/>
      <c r="D213" s="90"/>
      <c r="E213" s="30"/>
    </row>
    <row r="214" spans="1:5" ht="12.75" hidden="1" customHeight="1" outlineLevel="1" x14ac:dyDescent="0.2">
      <c r="A214" s="89" t="str">
        <f>"         "&amp;Labels!B104</f>
        <v xml:space="preserve">         Series B</v>
      </c>
      <c r="B214" s="91">
        <f>0+B290</f>
        <v>0</v>
      </c>
      <c r="C214" s="91">
        <f>B274+C290</f>
        <v>0</v>
      </c>
      <c r="D214" s="91">
        <f>C274+D290</f>
        <v>0</v>
      </c>
      <c r="E214" s="30">
        <f>SUM(B214:D214)</f>
        <v>0</v>
      </c>
    </row>
    <row r="215" spans="1:5" ht="12.75" hidden="1" customHeight="1" outlineLevel="1" x14ac:dyDescent="0.2">
      <c r="A215" s="89" t="str">
        <f>"         "&amp;Labels!B105</f>
        <v xml:space="preserve">         Series A</v>
      </c>
      <c r="B215" s="91">
        <f>0+B291</f>
        <v>0</v>
      </c>
      <c r="C215" s="91">
        <f>B275+C291</f>
        <v>0</v>
      </c>
      <c r="D215" s="91">
        <f>C275+D291</f>
        <v>0</v>
      </c>
      <c r="E215" s="30">
        <f>SUM(B215:D215)</f>
        <v>0</v>
      </c>
    </row>
    <row r="216" spans="1:5" ht="12.75" hidden="1" customHeight="1" outlineLevel="1" x14ac:dyDescent="0.2">
      <c r="A216" s="89" t="str">
        <f>"         "&amp;Labels!C103</f>
        <v xml:space="preserve">         Subtotal</v>
      </c>
      <c r="B216" s="90">
        <f>SUM(B214:B215)</f>
        <v>0</v>
      </c>
      <c r="C216" s="90">
        <f>SUM(C214:C215)</f>
        <v>0</v>
      </c>
      <c r="D216" s="90">
        <f>SUM(D214:D215)</f>
        <v>0</v>
      </c>
      <c r="E216" s="30">
        <f>SUM(E214:E215)</f>
        <v>0</v>
      </c>
    </row>
    <row r="217" spans="1:5" ht="12.75" hidden="1" customHeight="1" outlineLevel="1" x14ac:dyDescent="0.2">
      <c r="A217" s="89" t="str">
        <f>"      "&amp;Labels!B106</f>
        <v xml:space="preserve">      Preferred</v>
      </c>
      <c r="B217" s="90"/>
      <c r="C217" s="90"/>
      <c r="D217" s="90"/>
      <c r="E217" s="30"/>
    </row>
    <row r="218" spans="1:5" ht="12.75" hidden="1" customHeight="1" outlineLevel="1" x14ac:dyDescent="0.2">
      <c r="A218" s="89" t="str">
        <f>"         "&amp;Labels!B107</f>
        <v xml:space="preserve">         Series A</v>
      </c>
      <c r="B218" s="91">
        <f>0+B294</f>
        <v>0</v>
      </c>
      <c r="C218" s="91">
        <f>B278+C294</f>
        <v>0</v>
      </c>
      <c r="D218" s="91">
        <f>C278+D294</f>
        <v>0</v>
      </c>
      <c r="E218" s="30">
        <f>SUM(B218:D218)</f>
        <v>0</v>
      </c>
    </row>
    <row r="219" spans="1:5" ht="12.75" hidden="1" customHeight="1" outlineLevel="1" x14ac:dyDescent="0.2">
      <c r="A219" s="89" t="str">
        <f>"         "&amp;Labels!C106</f>
        <v xml:space="preserve">         Subtotal</v>
      </c>
      <c r="B219" s="90">
        <f>B218</f>
        <v>0</v>
      </c>
      <c r="C219" s="90">
        <f>C218</f>
        <v>0</v>
      </c>
      <c r="D219" s="90">
        <f>D218</f>
        <v>0</v>
      </c>
      <c r="E219" s="30">
        <f>E218</f>
        <v>0</v>
      </c>
    </row>
    <row r="220" spans="1:5" ht="12.75" hidden="1" customHeight="1" outlineLevel="1" x14ac:dyDescent="0.2">
      <c r="A220" s="89" t="str">
        <f>"      "&amp;Labels!B108</f>
        <v xml:space="preserve">      Common</v>
      </c>
      <c r="B220" s="90">
        <f>0+B296</f>
        <v>0</v>
      </c>
      <c r="C220" s="90">
        <f>B280+C296</f>
        <v>1</v>
      </c>
      <c r="D220" s="90">
        <f>C280+D296</f>
        <v>1</v>
      </c>
      <c r="E220" s="30">
        <f>SUM(B220:D220)</f>
        <v>2</v>
      </c>
    </row>
    <row r="221" spans="1:5" ht="12.75" hidden="1" customHeight="1" outlineLevel="1" x14ac:dyDescent="0.2">
      <c r="A221" s="89" t="str">
        <f>"      "&amp;Labels!B109</f>
        <v xml:space="preserve">      Warrant</v>
      </c>
      <c r="B221" s="90">
        <f>0+B297</f>
        <v>0</v>
      </c>
      <c r="C221" s="90">
        <f>B281+C297</f>
        <v>0</v>
      </c>
      <c r="D221" s="90">
        <f>C281+D297</f>
        <v>0</v>
      </c>
      <c r="E221" s="30">
        <f>SUM(B221:D221)</f>
        <v>0</v>
      </c>
    </row>
    <row r="222" spans="1:5" ht="12.75" hidden="1" customHeight="1" outlineLevel="1" x14ac:dyDescent="0.2">
      <c r="A222" s="89" t="str">
        <f>"      "&amp;Labels!B110</f>
        <v xml:space="preserve">      Option</v>
      </c>
      <c r="B222" s="90"/>
      <c r="C222" s="90"/>
      <c r="D222" s="90"/>
      <c r="E222" s="30"/>
    </row>
    <row r="223" spans="1:5" ht="12.75" hidden="1" customHeight="1" outlineLevel="1" x14ac:dyDescent="0.2">
      <c r="A223" s="89" t="str">
        <f>"         "&amp;Labels!B111</f>
        <v xml:space="preserve">         Series B</v>
      </c>
      <c r="B223" s="91">
        <f>0+B299</f>
        <v>0</v>
      </c>
      <c r="C223" s="91">
        <f>B283+C299</f>
        <v>0</v>
      </c>
      <c r="D223" s="91">
        <f>C283+D299</f>
        <v>0</v>
      </c>
      <c r="E223" s="30">
        <f>SUM(B223:D223)</f>
        <v>0</v>
      </c>
    </row>
    <row r="224" spans="1:5" ht="12.75" hidden="1" customHeight="1" outlineLevel="1" x14ac:dyDescent="0.2">
      <c r="A224" s="89" t="str">
        <f>"         "&amp;Labels!B112</f>
        <v xml:space="preserve">         Series A</v>
      </c>
      <c r="B224" s="91">
        <f>0+B300</f>
        <v>0</v>
      </c>
      <c r="C224" s="91">
        <f>B284+C300</f>
        <v>0</v>
      </c>
      <c r="D224" s="91">
        <f>C284+D300</f>
        <v>0</v>
      </c>
      <c r="E224" s="30">
        <f>SUM(B224:D224)</f>
        <v>0</v>
      </c>
    </row>
    <row r="225" spans="1:5" ht="12.75" hidden="1" customHeight="1" outlineLevel="1" x14ac:dyDescent="0.2">
      <c r="A225" s="89" t="str">
        <f>"         "&amp;Labels!C110</f>
        <v xml:space="preserve">         Subtotal</v>
      </c>
      <c r="B225" s="90">
        <f>SUM(B223:B224)</f>
        <v>0</v>
      </c>
      <c r="C225" s="90">
        <f>SUM(C223:C224)</f>
        <v>0</v>
      </c>
      <c r="D225" s="90">
        <f>SUM(D223:D224)</f>
        <v>0</v>
      </c>
      <c r="E225" s="30">
        <f>SUM(E223:E224)</f>
        <v>0</v>
      </c>
    </row>
    <row r="226" spans="1:5" ht="12.75" hidden="1" customHeight="1" outlineLevel="1" x14ac:dyDescent="0.2">
      <c r="A226" s="28" t="str">
        <f>"      "&amp;Labels!C102</f>
        <v xml:space="preserve">      Total</v>
      </c>
      <c r="B226" s="70">
        <f>SUM(B216,B219:B221,B225)</f>
        <v>0</v>
      </c>
      <c r="C226" s="70">
        <f>SUM(C216,C219:C221,C225)</f>
        <v>1</v>
      </c>
      <c r="D226" s="70">
        <f>SUM(D216,D219:D221,D225)</f>
        <v>1</v>
      </c>
      <c r="E226" s="30">
        <f>SUM(E216,E219:E221,E225)</f>
        <v>2</v>
      </c>
    </row>
    <row r="227" spans="1:5" ht="12.75" hidden="1" customHeight="1" outlineLevel="1" x14ac:dyDescent="0.2">
      <c r="A227" s="28" t="str">
        <f>"   "&amp;Labels!B92</f>
        <v xml:space="preserve">   New Sales</v>
      </c>
      <c r="B227" s="70"/>
      <c r="C227" s="70"/>
      <c r="D227" s="70"/>
      <c r="E227" s="30"/>
    </row>
    <row r="228" spans="1:5" ht="12.75" hidden="1" customHeight="1" outlineLevel="1" x14ac:dyDescent="0.2">
      <c r="A228" s="89" t="str">
        <f>"      "&amp;Labels!B103</f>
        <v xml:space="preserve">      Conv Note</v>
      </c>
      <c r="B228" s="90"/>
      <c r="C228" s="90"/>
      <c r="D228" s="90"/>
      <c r="E228" s="30"/>
    </row>
    <row r="229" spans="1:5" ht="12.75" hidden="1" customHeight="1" outlineLevel="1" x14ac:dyDescent="0.2">
      <c r="A229" s="89" t="str">
        <f>"         "&amp;Labels!B104</f>
        <v xml:space="preserve">         Series B</v>
      </c>
      <c r="B229" s="91">
        <f>'(Other Variables)'!B230</f>
        <v>0</v>
      </c>
      <c r="C229" s="91">
        <f>'(Other Variables)'!C230</f>
        <v>0</v>
      </c>
      <c r="D229" s="91">
        <f>'(Other Variables)'!D230</f>
        <v>0</v>
      </c>
      <c r="E229" s="30">
        <f>SUM(B229:D229)</f>
        <v>0</v>
      </c>
    </row>
    <row r="230" spans="1:5" ht="12.75" hidden="1" customHeight="1" outlineLevel="1" x14ac:dyDescent="0.2">
      <c r="A230" s="89" t="str">
        <f>"         "&amp;Labels!B105</f>
        <v xml:space="preserve">         Series A</v>
      </c>
      <c r="B230" s="91">
        <f>'(Other Variables)'!B231</f>
        <v>0</v>
      </c>
      <c r="C230" s="91">
        <f>'(Other Variables)'!C231</f>
        <v>0</v>
      </c>
      <c r="D230" s="91">
        <f>'(Other Variables)'!D231</f>
        <v>0</v>
      </c>
      <c r="E230" s="30">
        <f>SUM(B230:D230)</f>
        <v>0</v>
      </c>
    </row>
    <row r="231" spans="1:5" ht="12.75" hidden="1" customHeight="1" outlineLevel="1" x14ac:dyDescent="0.2">
      <c r="A231" s="89" t="str">
        <f>"         "&amp;Labels!C103</f>
        <v xml:space="preserve">         Subtotal</v>
      </c>
      <c r="B231" s="90">
        <f>SUM(B229:B230)</f>
        <v>0</v>
      </c>
      <c r="C231" s="90">
        <f>SUM(C229:C230)</f>
        <v>0</v>
      </c>
      <c r="D231" s="90">
        <f>SUM(D229:D230)</f>
        <v>0</v>
      </c>
      <c r="E231" s="30">
        <f>SUM(E229:E230)</f>
        <v>0</v>
      </c>
    </row>
    <row r="232" spans="1:5" ht="12.75" hidden="1" customHeight="1" outlineLevel="1" x14ac:dyDescent="0.2">
      <c r="A232" s="89" t="str">
        <f>"      "&amp;Labels!B106</f>
        <v xml:space="preserve">      Preferred</v>
      </c>
      <c r="B232" s="90"/>
      <c r="C232" s="90"/>
      <c r="D232" s="90"/>
      <c r="E232" s="30"/>
    </row>
    <row r="233" spans="1:5" ht="12.75" hidden="1" customHeight="1" outlineLevel="1" x14ac:dyDescent="0.2">
      <c r="A233" s="89" t="str">
        <f>"         "&amp;Labels!B107</f>
        <v xml:space="preserve">         Series A</v>
      </c>
      <c r="B233" s="91">
        <f>'(Other Variables)'!B234</f>
        <v>0</v>
      </c>
      <c r="C233" s="91">
        <f>'(Other Variables)'!C234</f>
        <v>0</v>
      </c>
      <c r="D233" s="91">
        <f>'(Other Variables)'!D234</f>
        <v>0</v>
      </c>
      <c r="E233" s="30">
        <f>SUM(B233:D233)</f>
        <v>0</v>
      </c>
    </row>
    <row r="234" spans="1:5" ht="12.75" hidden="1" customHeight="1" outlineLevel="1" x14ac:dyDescent="0.2">
      <c r="A234" s="89" t="str">
        <f>"         "&amp;Labels!C106</f>
        <v xml:space="preserve">         Subtotal</v>
      </c>
      <c r="B234" s="90">
        <f>B233</f>
        <v>0</v>
      </c>
      <c r="C234" s="90">
        <f>C233</f>
        <v>0</v>
      </c>
      <c r="D234" s="90">
        <f>D233</f>
        <v>0</v>
      </c>
      <c r="E234" s="30">
        <f>E233</f>
        <v>0</v>
      </c>
    </row>
    <row r="235" spans="1:5" ht="12.75" hidden="1" customHeight="1" outlineLevel="1" x14ac:dyDescent="0.2">
      <c r="A235" s="89" t="str">
        <f>"      "&amp;Labels!B108</f>
        <v xml:space="preserve">      Common</v>
      </c>
      <c r="B235" s="90">
        <f>'(Other Variables)'!B236</f>
        <v>1</v>
      </c>
      <c r="C235" s="90">
        <f>'(Other Variables)'!C236</f>
        <v>0</v>
      </c>
      <c r="D235" s="90">
        <f>'(Other Variables)'!D236</f>
        <v>0</v>
      </c>
      <c r="E235" s="30">
        <f>SUM(B235:D235)</f>
        <v>1</v>
      </c>
    </row>
    <row r="236" spans="1:5" ht="12.75" hidden="1" customHeight="1" outlineLevel="1" x14ac:dyDescent="0.2">
      <c r="A236" s="89" t="str">
        <f>"      "&amp;Labels!B109</f>
        <v xml:space="preserve">      Warrant</v>
      </c>
      <c r="B236" s="90">
        <f>Shares!B73*Prices!B19</f>
        <v>0</v>
      </c>
      <c r="C236" s="90">
        <f>Shares!C73*Prices!C19</f>
        <v>0</v>
      </c>
      <c r="D236" s="90">
        <f>Shares!D73*Prices!D19</f>
        <v>0</v>
      </c>
      <c r="E236" s="30">
        <f>SUM(B236:D236)</f>
        <v>0</v>
      </c>
    </row>
    <row r="237" spans="1:5" ht="12.75" hidden="1" customHeight="1" outlineLevel="1" x14ac:dyDescent="0.2">
      <c r="A237" s="89" t="str">
        <f>"      "&amp;Labels!B110</f>
        <v xml:space="preserve">      Option</v>
      </c>
      <c r="B237" s="90"/>
      <c r="C237" s="90"/>
      <c r="D237" s="90"/>
      <c r="E237" s="30"/>
    </row>
    <row r="238" spans="1:5" ht="12.75" hidden="1" customHeight="1" outlineLevel="1" x14ac:dyDescent="0.2">
      <c r="A238" s="89" t="str">
        <f>"         "&amp;Labels!B111</f>
        <v xml:space="preserve">         Series B</v>
      </c>
      <c r="B238" s="91">
        <f>Shares!B75*Inputs!B96</f>
        <v>0</v>
      </c>
      <c r="C238" s="91">
        <f>Shares!C75*Inputs!C96</f>
        <v>0</v>
      </c>
      <c r="D238" s="91">
        <f>Shares!D75*Inputs!D96</f>
        <v>0</v>
      </c>
      <c r="E238" s="30">
        <f>SUM(B238:D238)</f>
        <v>0</v>
      </c>
    </row>
    <row r="239" spans="1:5" ht="12.75" hidden="1" customHeight="1" outlineLevel="1" x14ac:dyDescent="0.2">
      <c r="A239" s="89" t="str">
        <f>"         "&amp;Labels!B112</f>
        <v xml:space="preserve">         Series A</v>
      </c>
      <c r="B239" s="91">
        <f>Shares!B76*Inputs!B97</f>
        <v>0</v>
      </c>
      <c r="C239" s="91">
        <f>Shares!C76*Inputs!C97</f>
        <v>0</v>
      </c>
      <c r="D239" s="91">
        <f>Shares!D76*Inputs!D97</f>
        <v>0</v>
      </c>
      <c r="E239" s="30">
        <f>SUM(B239:D239)</f>
        <v>0</v>
      </c>
    </row>
    <row r="240" spans="1:5" ht="12.75" hidden="1" customHeight="1" outlineLevel="1" x14ac:dyDescent="0.2">
      <c r="A240" s="89" t="str">
        <f>"         "&amp;Labels!C110</f>
        <v xml:space="preserve">         Subtotal</v>
      </c>
      <c r="B240" s="90">
        <f>SUM(B238:B239)</f>
        <v>0</v>
      </c>
      <c r="C240" s="90">
        <f>SUM(C238:C239)</f>
        <v>0</v>
      </c>
      <c r="D240" s="90">
        <f>SUM(D238:D239)</f>
        <v>0</v>
      </c>
      <c r="E240" s="30">
        <f>SUM(E238:E239)</f>
        <v>0</v>
      </c>
    </row>
    <row r="241" spans="1:5" ht="12.75" hidden="1" customHeight="1" outlineLevel="1" x14ac:dyDescent="0.2">
      <c r="A241" s="28" t="str">
        <f>"      "&amp;Labels!C102</f>
        <v xml:space="preserve">      Total</v>
      </c>
      <c r="B241" s="70">
        <f>SUM(B231,B234:B236,B240)</f>
        <v>1</v>
      </c>
      <c r="C241" s="70">
        <f>SUM(C231,C234:C236,C240)</f>
        <v>0</v>
      </c>
      <c r="D241" s="70">
        <f>SUM(D231,D234:D236,D240)</f>
        <v>0</v>
      </c>
      <c r="E241" s="30">
        <f>SUM(E231,E234:E236,E240)</f>
        <v>1</v>
      </c>
    </row>
    <row r="242" spans="1:5" ht="12.75" hidden="1" customHeight="1" outlineLevel="1" x14ac:dyDescent="0.2">
      <c r="A242" s="28" t="str">
        <f>"   "&amp;Labels!B93</f>
        <v xml:space="preserve">   Post Sales</v>
      </c>
      <c r="B242" s="70"/>
      <c r="C242" s="70"/>
      <c r="D242" s="70"/>
      <c r="E242" s="30"/>
    </row>
    <row r="243" spans="1:5" ht="12.75" hidden="1" customHeight="1" outlineLevel="1" x14ac:dyDescent="0.2">
      <c r="A243" s="89" t="str">
        <f>"      "&amp;Labels!B103</f>
        <v xml:space="preserve">      Conv Note</v>
      </c>
      <c r="B243" s="90"/>
      <c r="C243" s="90"/>
      <c r="D243" s="90"/>
      <c r="E243" s="30"/>
    </row>
    <row r="244" spans="1:5" ht="12.75" hidden="1" customHeight="1" outlineLevel="1" x14ac:dyDescent="0.2">
      <c r="A244" s="89" t="str">
        <f>"         "&amp;Labels!B104</f>
        <v xml:space="preserve">         Series B</v>
      </c>
      <c r="B244" s="91">
        <f t="shared" ref="B244:D245" si="22">B214+B229</f>
        <v>0</v>
      </c>
      <c r="C244" s="91">
        <f t="shared" si="22"/>
        <v>0</v>
      </c>
      <c r="D244" s="91">
        <f t="shared" si="22"/>
        <v>0</v>
      </c>
      <c r="E244" s="30">
        <f>SUM(B244:D244)</f>
        <v>0</v>
      </c>
    </row>
    <row r="245" spans="1:5" ht="12.75" hidden="1" customHeight="1" outlineLevel="1" x14ac:dyDescent="0.2">
      <c r="A245" s="89" t="str">
        <f>"         "&amp;Labels!B105</f>
        <v xml:space="preserve">         Series A</v>
      </c>
      <c r="B245" s="91">
        <f t="shared" si="22"/>
        <v>0</v>
      </c>
      <c r="C245" s="91">
        <f t="shared" si="22"/>
        <v>0</v>
      </c>
      <c r="D245" s="91">
        <f t="shared" si="22"/>
        <v>0</v>
      </c>
      <c r="E245" s="30">
        <f>SUM(B245:D245)</f>
        <v>0</v>
      </c>
    </row>
    <row r="246" spans="1:5" ht="12.75" hidden="1" customHeight="1" outlineLevel="1" x14ac:dyDescent="0.2">
      <c r="A246" s="89" t="str">
        <f>"         "&amp;Labels!C103</f>
        <v xml:space="preserve">         Subtotal</v>
      </c>
      <c r="B246" s="90">
        <f>SUM(B244:B245)</f>
        <v>0</v>
      </c>
      <c r="C246" s="90">
        <f>SUM(C244:C245)</f>
        <v>0</v>
      </c>
      <c r="D246" s="90">
        <f>SUM(D244:D245)</f>
        <v>0</v>
      </c>
      <c r="E246" s="30">
        <f>SUM(E244:E245)</f>
        <v>0</v>
      </c>
    </row>
    <row r="247" spans="1:5" ht="12.75" hidden="1" customHeight="1" outlineLevel="1" x14ac:dyDescent="0.2">
      <c r="A247" s="89" t="str">
        <f>"      "&amp;Labels!B106</f>
        <v xml:space="preserve">      Preferred</v>
      </c>
      <c r="B247" s="90"/>
      <c r="C247" s="90"/>
      <c r="D247" s="90"/>
      <c r="E247" s="30"/>
    </row>
    <row r="248" spans="1:5" ht="12.75" hidden="1" customHeight="1" outlineLevel="1" x14ac:dyDescent="0.2">
      <c r="A248" s="89" t="str">
        <f>"         "&amp;Labels!B107</f>
        <v xml:space="preserve">         Series A</v>
      </c>
      <c r="B248" s="91">
        <f>B218+B233</f>
        <v>0</v>
      </c>
      <c r="C248" s="91">
        <f>C218+C233</f>
        <v>0</v>
      </c>
      <c r="D248" s="91">
        <f>D218+D233</f>
        <v>0</v>
      </c>
      <c r="E248" s="30">
        <f>SUM(B248:D248)</f>
        <v>0</v>
      </c>
    </row>
    <row r="249" spans="1:5" ht="12.75" hidden="1" customHeight="1" outlineLevel="1" x14ac:dyDescent="0.2">
      <c r="A249" s="89" t="str">
        <f>"         "&amp;Labels!C106</f>
        <v xml:space="preserve">         Subtotal</v>
      </c>
      <c r="B249" s="90">
        <f>B248</f>
        <v>0</v>
      </c>
      <c r="C249" s="90">
        <f>C248</f>
        <v>0</v>
      </c>
      <c r="D249" s="90">
        <f>D248</f>
        <v>0</v>
      </c>
      <c r="E249" s="30">
        <f>E248</f>
        <v>0</v>
      </c>
    </row>
    <row r="250" spans="1:5" ht="12.75" hidden="1" customHeight="1" outlineLevel="1" x14ac:dyDescent="0.2">
      <c r="A250" s="89" t="str">
        <f>"      "&amp;Labels!B108</f>
        <v xml:space="preserve">      Common</v>
      </c>
      <c r="B250" s="90">
        <f t="shared" ref="B250:D251" si="23">B220+B235</f>
        <v>1</v>
      </c>
      <c r="C250" s="90">
        <f t="shared" si="23"/>
        <v>1</v>
      </c>
      <c r="D250" s="90">
        <f t="shared" si="23"/>
        <v>1</v>
      </c>
      <c r="E250" s="30">
        <f>SUM(B250:D250)</f>
        <v>3</v>
      </c>
    </row>
    <row r="251" spans="1:5" ht="12.75" hidden="1" customHeight="1" outlineLevel="1" x14ac:dyDescent="0.2">
      <c r="A251" s="89" t="str">
        <f>"      "&amp;Labels!B109</f>
        <v xml:space="preserve">      Warrant</v>
      </c>
      <c r="B251" s="90">
        <f t="shared" si="23"/>
        <v>0</v>
      </c>
      <c r="C251" s="90">
        <f t="shared" si="23"/>
        <v>0</v>
      </c>
      <c r="D251" s="90">
        <f t="shared" si="23"/>
        <v>0</v>
      </c>
      <c r="E251" s="30">
        <f>SUM(B251:D251)</f>
        <v>0</v>
      </c>
    </row>
    <row r="252" spans="1:5" ht="12.75" hidden="1" customHeight="1" outlineLevel="1" x14ac:dyDescent="0.2">
      <c r="A252" s="89" t="str">
        <f>"      "&amp;Labels!B110</f>
        <v xml:space="preserve">      Option</v>
      </c>
      <c r="B252" s="90"/>
      <c r="C252" s="90"/>
      <c r="D252" s="90"/>
      <c r="E252" s="30"/>
    </row>
    <row r="253" spans="1:5" ht="12.75" hidden="1" customHeight="1" outlineLevel="1" x14ac:dyDescent="0.2">
      <c r="A253" s="89" t="str">
        <f>"         "&amp;Labels!B111</f>
        <v xml:space="preserve">         Series B</v>
      </c>
      <c r="B253" s="91">
        <f t="shared" ref="B253:D254" si="24">B223+B238</f>
        <v>0</v>
      </c>
      <c r="C253" s="91">
        <f t="shared" si="24"/>
        <v>0</v>
      </c>
      <c r="D253" s="91">
        <f t="shared" si="24"/>
        <v>0</v>
      </c>
      <c r="E253" s="30">
        <f>SUM(B253:D253)</f>
        <v>0</v>
      </c>
    </row>
    <row r="254" spans="1:5" ht="12.75" hidden="1" customHeight="1" outlineLevel="1" x14ac:dyDescent="0.2">
      <c r="A254" s="89" t="str">
        <f>"         "&amp;Labels!B112</f>
        <v xml:space="preserve">         Series A</v>
      </c>
      <c r="B254" s="91">
        <f t="shared" si="24"/>
        <v>0</v>
      </c>
      <c r="C254" s="91">
        <f t="shared" si="24"/>
        <v>0</v>
      </c>
      <c r="D254" s="91">
        <f t="shared" si="24"/>
        <v>0</v>
      </c>
      <c r="E254" s="30">
        <f>SUM(B254:D254)</f>
        <v>0</v>
      </c>
    </row>
    <row r="255" spans="1:5" ht="12.75" hidden="1" customHeight="1" outlineLevel="1" x14ac:dyDescent="0.2">
      <c r="A255" s="89" t="str">
        <f>"         "&amp;Labels!C110</f>
        <v xml:space="preserve">         Subtotal</v>
      </c>
      <c r="B255" s="90">
        <f>SUM(B253:B254)</f>
        <v>0</v>
      </c>
      <c r="C255" s="90">
        <f>SUM(C253:C254)</f>
        <v>0</v>
      </c>
      <c r="D255" s="90">
        <f>SUM(D253:D254)</f>
        <v>0</v>
      </c>
      <c r="E255" s="30">
        <f>SUM(E253:E254)</f>
        <v>0</v>
      </c>
    </row>
    <row r="256" spans="1:5" ht="12.75" hidden="1" customHeight="1" outlineLevel="1" x14ac:dyDescent="0.2">
      <c r="A256" s="28" t="str">
        <f>"      "&amp;Labels!C102</f>
        <v xml:space="preserve">      Total</v>
      </c>
      <c r="B256" s="70">
        <f>SUM(B246,B249:B251,B255)</f>
        <v>1</v>
      </c>
      <c r="C256" s="70">
        <f>SUM(C246,C249:C251,C255)</f>
        <v>1</v>
      </c>
      <c r="D256" s="70">
        <f>SUM(D246,D249:D251,D255)</f>
        <v>1</v>
      </c>
      <c r="E256" s="30">
        <f>SUM(E246,E249:E251,E255)</f>
        <v>3</v>
      </c>
    </row>
    <row r="257" spans="1:5" ht="12.75" hidden="1" customHeight="1" outlineLevel="1" x14ac:dyDescent="0.2">
      <c r="A257" s="28" t="str">
        <f>"   "&amp;Labels!B94</f>
        <v xml:space="preserve">   Convert</v>
      </c>
      <c r="B257" s="70"/>
      <c r="C257" s="70"/>
      <c r="D257" s="70"/>
      <c r="E257" s="30"/>
    </row>
    <row r="258" spans="1:5" ht="12.75" hidden="1" customHeight="1" outlineLevel="1" x14ac:dyDescent="0.2">
      <c r="A258" s="89" t="str">
        <f>"      "&amp;Labels!B103</f>
        <v xml:space="preserve">      Conv Note</v>
      </c>
      <c r="B258" s="90"/>
      <c r="C258" s="90"/>
      <c r="D258" s="90"/>
      <c r="E258" s="30"/>
    </row>
    <row r="259" spans="1:5" ht="12.75" hidden="1" customHeight="1" outlineLevel="1" x14ac:dyDescent="0.2">
      <c r="A259" s="89" t="str">
        <f>"         "&amp;Labels!B104</f>
        <v xml:space="preserve">         Series B</v>
      </c>
      <c r="B259" s="91">
        <f>Conversion!B28*B244</f>
        <v>0</v>
      </c>
      <c r="C259" s="91">
        <f>Conversion!C28*C244</f>
        <v>0</v>
      </c>
      <c r="D259" s="91">
        <f>Conversion!D28*D244</f>
        <v>0</v>
      </c>
      <c r="E259" s="30">
        <f>SUM(B259:D259)</f>
        <v>0</v>
      </c>
    </row>
    <row r="260" spans="1:5" ht="12.75" hidden="1" customHeight="1" outlineLevel="1" x14ac:dyDescent="0.2">
      <c r="A260" s="89" t="str">
        <f>"         "&amp;Labels!B105</f>
        <v xml:space="preserve">         Series A</v>
      </c>
      <c r="B260" s="91">
        <f>Conversion!B29*B245</f>
        <v>0</v>
      </c>
      <c r="C260" s="91">
        <f>Conversion!C29*C245</f>
        <v>0</v>
      </c>
      <c r="D260" s="91">
        <f>Conversion!D29*D245</f>
        <v>0</v>
      </c>
      <c r="E260" s="30">
        <f>SUM(B260:D260)</f>
        <v>0</v>
      </c>
    </row>
    <row r="261" spans="1:5" ht="12.75" hidden="1" customHeight="1" outlineLevel="1" x14ac:dyDescent="0.2">
      <c r="A261" s="89" t="str">
        <f>"         "&amp;Labels!C103</f>
        <v xml:space="preserve">         Subtotal</v>
      </c>
      <c r="B261" s="90">
        <f>SUM(B259:B260)</f>
        <v>0</v>
      </c>
      <c r="C261" s="90">
        <f>SUM(C259:C260)</f>
        <v>0</v>
      </c>
      <c r="D261" s="90">
        <f>SUM(D259:D260)</f>
        <v>0</v>
      </c>
      <c r="E261" s="30">
        <f>SUM(E259:E260)</f>
        <v>0</v>
      </c>
    </row>
    <row r="262" spans="1:5" ht="12.75" hidden="1" customHeight="1" outlineLevel="1" x14ac:dyDescent="0.2">
      <c r="A262" s="89" t="str">
        <f>"      "&amp;Labels!B106</f>
        <v xml:space="preserve">      Preferred</v>
      </c>
      <c r="B262" s="90"/>
      <c r="C262" s="90"/>
      <c r="D262" s="90"/>
      <c r="E262" s="30"/>
    </row>
    <row r="263" spans="1:5" ht="12.75" hidden="1" customHeight="1" outlineLevel="1" x14ac:dyDescent="0.2">
      <c r="A263" s="89" t="str">
        <f>"         "&amp;Labels!B107</f>
        <v xml:space="preserve">         Series A</v>
      </c>
      <c r="B263" s="91">
        <f>Conversion!B31*B248</f>
        <v>0</v>
      </c>
      <c r="C263" s="91">
        <f>Conversion!C31*C248</f>
        <v>0</v>
      </c>
      <c r="D263" s="91">
        <f>Conversion!D31*D248</f>
        <v>0</v>
      </c>
      <c r="E263" s="30">
        <f>SUM(B263:D263)</f>
        <v>0</v>
      </c>
    </row>
    <row r="264" spans="1:5" ht="12.75" hidden="1" customHeight="1" outlineLevel="1" x14ac:dyDescent="0.2">
      <c r="A264" s="89" t="str">
        <f>"         "&amp;Labels!C106</f>
        <v xml:space="preserve">         Subtotal</v>
      </c>
      <c r="B264" s="90">
        <f>B263</f>
        <v>0</v>
      </c>
      <c r="C264" s="90">
        <f>C263</f>
        <v>0</v>
      </c>
      <c r="D264" s="90">
        <f>D263</f>
        <v>0</v>
      </c>
      <c r="E264" s="30">
        <f>E263</f>
        <v>0</v>
      </c>
    </row>
    <row r="265" spans="1:5" ht="12.75" hidden="1" customHeight="1" outlineLevel="1" x14ac:dyDescent="0.2">
      <c r="A265" s="89" t="str">
        <f>"      "&amp;Labels!B108</f>
        <v xml:space="preserve">      Common</v>
      </c>
      <c r="B265" s="90">
        <f>Conversion!B32*B250</f>
        <v>0</v>
      </c>
      <c r="C265" s="90">
        <f>Conversion!C32*C250</f>
        <v>0</v>
      </c>
      <c r="D265" s="90">
        <f>Conversion!D32*D250</f>
        <v>0</v>
      </c>
      <c r="E265" s="30">
        <f>SUM(B265:D265)</f>
        <v>0</v>
      </c>
    </row>
    <row r="266" spans="1:5" ht="12.75" hidden="1" customHeight="1" outlineLevel="1" x14ac:dyDescent="0.2">
      <c r="A266" s="89" t="str">
        <f>"      "&amp;Labels!B109</f>
        <v xml:space="preserve">      Warrant</v>
      </c>
      <c r="B266" s="90">
        <f>Conversion!B33*B251</f>
        <v>0</v>
      </c>
      <c r="C266" s="90">
        <f>Conversion!C33*C251</f>
        <v>0</v>
      </c>
      <c r="D266" s="90">
        <f>Conversion!D33*D251</f>
        <v>0</v>
      </c>
      <c r="E266" s="30">
        <f>SUM(B266:D266)</f>
        <v>0</v>
      </c>
    </row>
    <row r="267" spans="1:5" ht="12.75" hidden="1" customHeight="1" outlineLevel="1" x14ac:dyDescent="0.2">
      <c r="A267" s="89" t="str">
        <f>"      "&amp;Labels!B110</f>
        <v xml:space="preserve">      Option</v>
      </c>
      <c r="B267" s="90"/>
      <c r="C267" s="90"/>
      <c r="D267" s="90"/>
      <c r="E267" s="30"/>
    </row>
    <row r="268" spans="1:5" ht="12.75" hidden="1" customHeight="1" outlineLevel="1" x14ac:dyDescent="0.2">
      <c r="A268" s="89" t="str">
        <f>"         "&amp;Labels!B111</f>
        <v xml:space="preserve">         Series B</v>
      </c>
      <c r="B268" s="91">
        <f>Conversion!B35*B253</f>
        <v>0</v>
      </c>
      <c r="C268" s="91">
        <f>Conversion!C35*C253</f>
        <v>0</v>
      </c>
      <c r="D268" s="91">
        <f>Conversion!D35*D253</f>
        <v>0</v>
      </c>
      <c r="E268" s="30">
        <f>SUM(B268:D268)</f>
        <v>0</v>
      </c>
    </row>
    <row r="269" spans="1:5" ht="12.75" hidden="1" customHeight="1" outlineLevel="1" x14ac:dyDescent="0.2">
      <c r="A269" s="89" t="str">
        <f>"         "&amp;Labels!B112</f>
        <v xml:space="preserve">         Series A</v>
      </c>
      <c r="B269" s="91">
        <f>Conversion!B36*B254</f>
        <v>0</v>
      </c>
      <c r="C269" s="91">
        <f>Conversion!C36*C254</f>
        <v>0</v>
      </c>
      <c r="D269" s="91">
        <f>Conversion!D36*D254</f>
        <v>0</v>
      </c>
      <c r="E269" s="30">
        <f>SUM(B269:D269)</f>
        <v>0</v>
      </c>
    </row>
    <row r="270" spans="1:5" ht="12.75" hidden="1" customHeight="1" outlineLevel="1" x14ac:dyDescent="0.2">
      <c r="A270" s="89" t="str">
        <f>"         "&amp;Labels!C110</f>
        <v xml:space="preserve">         Subtotal</v>
      </c>
      <c r="B270" s="90">
        <f>SUM(B268:B269)</f>
        <v>0</v>
      </c>
      <c r="C270" s="90">
        <f>SUM(C268:C269)</f>
        <v>0</v>
      </c>
      <c r="D270" s="90">
        <f>SUM(D268:D269)</f>
        <v>0</v>
      </c>
      <c r="E270" s="30">
        <f>SUM(E268:E269)</f>
        <v>0</v>
      </c>
    </row>
    <row r="271" spans="1:5" ht="12.75" hidden="1" customHeight="1" outlineLevel="1" x14ac:dyDescent="0.2">
      <c r="A271" s="28" t="str">
        <f>"      "&amp;Labels!C102</f>
        <v xml:space="preserve">      Total</v>
      </c>
      <c r="B271" s="70">
        <f>SUM(B261,B264:B266,B270)</f>
        <v>0</v>
      </c>
      <c r="C271" s="70">
        <f>SUM(C261,C264:C266,C270)</f>
        <v>0</v>
      </c>
      <c r="D271" s="70">
        <f>SUM(D261,D264:D266,D270)</f>
        <v>0</v>
      </c>
      <c r="E271" s="30">
        <f>SUM(E261,E264:E266,E270)</f>
        <v>0</v>
      </c>
    </row>
    <row r="272" spans="1:5" ht="12.75" hidden="1" customHeight="1" outlineLevel="1" x14ac:dyDescent="0.2">
      <c r="A272" s="28" t="str">
        <f>"   "&amp;Labels!B95</f>
        <v xml:space="preserve">   End</v>
      </c>
      <c r="B272" s="70"/>
      <c r="C272" s="70"/>
      <c r="D272" s="70"/>
      <c r="E272" s="30"/>
    </row>
    <row r="273" spans="1:5" ht="12.75" hidden="1" customHeight="1" outlineLevel="1" x14ac:dyDescent="0.2">
      <c r="A273" s="89" t="str">
        <f>"      "&amp;Labels!B103</f>
        <v xml:space="preserve">      Conv Note</v>
      </c>
      <c r="B273" s="90"/>
      <c r="C273" s="90"/>
      <c r="D273" s="90"/>
      <c r="E273" s="30"/>
    </row>
    <row r="274" spans="1:5" ht="12.75" hidden="1" customHeight="1" outlineLevel="1" x14ac:dyDescent="0.2">
      <c r="A274" s="89" t="str">
        <f>"         "&amp;Labels!B104</f>
        <v xml:space="preserve">         Series B</v>
      </c>
      <c r="B274" s="91">
        <f t="shared" ref="B274:D275" si="25">B244-B259</f>
        <v>0</v>
      </c>
      <c r="C274" s="91">
        <f t="shared" si="25"/>
        <v>0</v>
      </c>
      <c r="D274" s="91">
        <f t="shared" si="25"/>
        <v>0</v>
      </c>
      <c r="E274" s="30">
        <f>SUM(B274:D274)</f>
        <v>0</v>
      </c>
    </row>
    <row r="275" spans="1:5" ht="12.75" hidden="1" customHeight="1" outlineLevel="1" x14ac:dyDescent="0.2">
      <c r="A275" s="89" t="str">
        <f>"         "&amp;Labels!B105</f>
        <v xml:space="preserve">         Series A</v>
      </c>
      <c r="B275" s="91">
        <f t="shared" si="25"/>
        <v>0</v>
      </c>
      <c r="C275" s="91">
        <f t="shared" si="25"/>
        <v>0</v>
      </c>
      <c r="D275" s="91">
        <f t="shared" si="25"/>
        <v>0</v>
      </c>
      <c r="E275" s="30">
        <f>SUM(B275:D275)</f>
        <v>0</v>
      </c>
    </row>
    <row r="276" spans="1:5" ht="12.75" hidden="1" customHeight="1" outlineLevel="1" x14ac:dyDescent="0.2">
      <c r="A276" s="89" t="str">
        <f>"         "&amp;Labels!C103</f>
        <v xml:space="preserve">         Subtotal</v>
      </c>
      <c r="B276" s="90">
        <f>SUM(B274:B275)</f>
        <v>0</v>
      </c>
      <c r="C276" s="90">
        <f>SUM(C274:C275)</f>
        <v>0</v>
      </c>
      <c r="D276" s="90">
        <f>SUM(D274:D275)</f>
        <v>0</v>
      </c>
      <c r="E276" s="30">
        <f>SUM(E274:E275)</f>
        <v>0</v>
      </c>
    </row>
    <row r="277" spans="1:5" ht="12.75" hidden="1" customHeight="1" outlineLevel="1" x14ac:dyDescent="0.2">
      <c r="A277" s="89" t="str">
        <f>"      "&amp;Labels!B106</f>
        <v xml:space="preserve">      Preferred</v>
      </c>
      <c r="B277" s="90"/>
      <c r="C277" s="90"/>
      <c r="D277" s="90"/>
      <c r="E277" s="30"/>
    </row>
    <row r="278" spans="1:5" ht="12.75" hidden="1" customHeight="1" outlineLevel="1" x14ac:dyDescent="0.2">
      <c r="A278" s="89" t="str">
        <f>"         "&amp;Labels!B107</f>
        <v xml:space="preserve">         Series A</v>
      </c>
      <c r="B278" s="91">
        <f>B248-B263</f>
        <v>0</v>
      </c>
      <c r="C278" s="91">
        <f>C248-C263</f>
        <v>0</v>
      </c>
      <c r="D278" s="91">
        <f>D248-D263</f>
        <v>0</v>
      </c>
      <c r="E278" s="30">
        <f>SUM(B278:D278)</f>
        <v>0</v>
      </c>
    </row>
    <row r="279" spans="1:5" ht="12.75" hidden="1" customHeight="1" outlineLevel="1" x14ac:dyDescent="0.2">
      <c r="A279" s="89" t="str">
        <f>"         "&amp;Labels!C106</f>
        <v xml:space="preserve">         Subtotal</v>
      </c>
      <c r="B279" s="90">
        <f>B278</f>
        <v>0</v>
      </c>
      <c r="C279" s="90">
        <f>C278</f>
        <v>0</v>
      </c>
      <c r="D279" s="90">
        <f>D278</f>
        <v>0</v>
      </c>
      <c r="E279" s="30">
        <f>E278</f>
        <v>0</v>
      </c>
    </row>
    <row r="280" spans="1:5" ht="12.75" hidden="1" customHeight="1" outlineLevel="1" x14ac:dyDescent="0.2">
      <c r="A280" s="89" t="str">
        <f>"      "&amp;Labels!B108</f>
        <v xml:space="preserve">      Common</v>
      </c>
      <c r="B280" s="90">
        <f>B250+B271+'(Other Variables)'!B93</f>
        <v>1</v>
      </c>
      <c r="C280" s="90">
        <f>C250+C271+'(Other Variables)'!C93</f>
        <v>1</v>
      </c>
      <c r="D280" s="90">
        <f>D250+D271+'(Other Variables)'!D93</f>
        <v>1</v>
      </c>
      <c r="E280" s="30">
        <f>SUM(B280:D280)</f>
        <v>3</v>
      </c>
    </row>
    <row r="281" spans="1:5" ht="12.75" hidden="1" customHeight="1" outlineLevel="1" x14ac:dyDescent="0.2">
      <c r="A281" s="89" t="str">
        <f>"      "&amp;Labels!B109</f>
        <v xml:space="preserve">      Warrant</v>
      </c>
      <c r="B281" s="90">
        <f>B251-B266</f>
        <v>0</v>
      </c>
      <c r="C281" s="90">
        <f>C251-C266</f>
        <v>0</v>
      </c>
      <c r="D281" s="90">
        <f>D251-D266</f>
        <v>0</v>
      </c>
      <c r="E281" s="30">
        <f>SUM(B281:D281)</f>
        <v>0</v>
      </c>
    </row>
    <row r="282" spans="1:5" ht="12.75" hidden="1" customHeight="1" outlineLevel="1" x14ac:dyDescent="0.2">
      <c r="A282" s="89" t="str">
        <f>"      "&amp;Labels!B110</f>
        <v xml:space="preserve">      Option</v>
      </c>
      <c r="B282" s="90"/>
      <c r="C282" s="90"/>
      <c r="D282" s="90"/>
      <c r="E282" s="30"/>
    </row>
    <row r="283" spans="1:5" ht="12.75" hidden="1" customHeight="1" outlineLevel="1" x14ac:dyDescent="0.2">
      <c r="A283" s="89" t="str">
        <f>"         "&amp;Labels!B111</f>
        <v xml:space="preserve">         Series B</v>
      </c>
      <c r="B283" s="91">
        <f t="shared" ref="B283:D284" si="26">B253-B268</f>
        <v>0</v>
      </c>
      <c r="C283" s="91">
        <f t="shared" si="26"/>
        <v>0</v>
      </c>
      <c r="D283" s="91">
        <f t="shared" si="26"/>
        <v>0</v>
      </c>
      <c r="E283" s="30">
        <f>SUM(B283:D283)</f>
        <v>0</v>
      </c>
    </row>
    <row r="284" spans="1:5" ht="12.75" hidden="1" customHeight="1" outlineLevel="1" x14ac:dyDescent="0.2">
      <c r="A284" s="89" t="str">
        <f>"         "&amp;Labels!B112</f>
        <v xml:space="preserve">         Series A</v>
      </c>
      <c r="B284" s="91">
        <f t="shared" si="26"/>
        <v>0</v>
      </c>
      <c r="C284" s="91">
        <f t="shared" si="26"/>
        <v>0</v>
      </c>
      <c r="D284" s="91">
        <f t="shared" si="26"/>
        <v>0</v>
      </c>
      <c r="E284" s="30">
        <f>SUM(B284:D284)</f>
        <v>0</v>
      </c>
    </row>
    <row r="285" spans="1:5" ht="12.75" hidden="1" customHeight="1" outlineLevel="1" x14ac:dyDescent="0.2">
      <c r="A285" s="89" t="str">
        <f>"         "&amp;Labels!C110</f>
        <v xml:space="preserve">         Subtotal</v>
      </c>
      <c r="B285" s="90">
        <f>SUM(B283:B284)</f>
        <v>0</v>
      </c>
      <c r="C285" s="90">
        <f>SUM(C283:C284)</f>
        <v>0</v>
      </c>
      <c r="D285" s="90">
        <f>SUM(D283:D284)</f>
        <v>0</v>
      </c>
      <c r="E285" s="30">
        <f>SUM(E283:E284)</f>
        <v>0</v>
      </c>
    </row>
    <row r="286" spans="1:5" ht="12.75" hidden="1" customHeight="1" outlineLevel="1" x14ac:dyDescent="0.2">
      <c r="A286" s="28" t="str">
        <f>"      "&amp;Labels!C102</f>
        <v xml:space="preserve">      Total</v>
      </c>
      <c r="B286" s="70">
        <f>SUM(B276,B279:B281,B285)</f>
        <v>1</v>
      </c>
      <c r="C286" s="70">
        <f>SUM(C276,C279:C281,C285)</f>
        <v>1</v>
      </c>
      <c r="D286" s="70">
        <f>SUM(D276,D279:D281,D285)</f>
        <v>1</v>
      </c>
      <c r="E286" s="30">
        <f>SUM(E276,E279:E281,E285)</f>
        <v>3</v>
      </c>
    </row>
    <row r="287" spans="1:5" ht="12.75" hidden="1" customHeight="1" outlineLevel="1" x14ac:dyDescent="0.2">
      <c r="A287" s="4"/>
      <c r="B287" s="92"/>
      <c r="C287" s="92"/>
      <c r="D287" s="92"/>
      <c r="E287" s="4"/>
    </row>
    <row r="288" spans="1:5" ht="12.75" hidden="1" customHeight="1" outlineLevel="1" x14ac:dyDescent="0.2">
      <c r="A288" s="73" t="str">
        <f>Labels!B15</f>
        <v>Dividend</v>
      </c>
      <c r="B288" s="74"/>
      <c r="C288" s="74"/>
      <c r="D288" s="74"/>
      <c r="E288" s="30"/>
    </row>
    <row r="289" spans="1:5" ht="12.75" hidden="1" customHeight="1" outlineLevel="1" x14ac:dyDescent="0.2">
      <c r="A289" s="28" t="str">
        <f>"   "&amp;Labels!B103</f>
        <v xml:space="preserve">   Conv Note</v>
      </c>
      <c r="B289" s="70"/>
      <c r="C289" s="70"/>
      <c r="D289" s="70"/>
      <c r="E289" s="30"/>
    </row>
    <row r="290" spans="1:5" ht="12.75" hidden="1" customHeight="1" outlineLevel="1" x14ac:dyDescent="0.2">
      <c r="A290" s="89" t="str">
        <f>"      "&amp;Labels!B104</f>
        <v xml:space="preserve">      Series B</v>
      </c>
      <c r="B290" s="90">
        <f>Inputs!D23*0*(B209-B209)/365</f>
        <v>0</v>
      </c>
      <c r="C290" s="90">
        <f>Inputs!D23*B274*(C209-B209)/365</f>
        <v>0</v>
      </c>
      <c r="D290" s="90">
        <f>Inputs!D23*C274*(D209-C209)/365</f>
        <v>0</v>
      </c>
      <c r="E290" s="30">
        <f>SUM(B290:D290)</f>
        <v>0</v>
      </c>
    </row>
    <row r="291" spans="1:5" ht="12.75" hidden="1" customHeight="1" outlineLevel="1" x14ac:dyDescent="0.2">
      <c r="A291" s="89" t="str">
        <f>"      "&amp;Labels!B105</f>
        <v xml:space="preserve">      Series A</v>
      </c>
      <c r="B291" s="90">
        <f>Inputs!D24*0*(B209-B209)/365</f>
        <v>0</v>
      </c>
      <c r="C291" s="90">
        <f>Inputs!D24*B275*(C209-B209)/365</f>
        <v>0</v>
      </c>
      <c r="D291" s="90">
        <f>Inputs!D24*C275*(D209-C209)/365</f>
        <v>0</v>
      </c>
      <c r="E291" s="30">
        <f>SUM(B291:D291)</f>
        <v>0</v>
      </c>
    </row>
    <row r="292" spans="1:5" ht="12.75" hidden="1" customHeight="1" outlineLevel="1" x14ac:dyDescent="0.2">
      <c r="A292" s="28" t="str">
        <f>"      "&amp;Labels!C103</f>
        <v xml:space="preserve">      Subtotal</v>
      </c>
      <c r="B292" s="70">
        <f>SUM(B290:B291)</f>
        <v>0</v>
      </c>
      <c r="C292" s="70">
        <f>SUM(C290:C291)</f>
        <v>0</v>
      </c>
      <c r="D292" s="70">
        <f>SUM(D290:D291)</f>
        <v>0</v>
      </c>
      <c r="E292" s="30">
        <f>SUM(E290:E291)</f>
        <v>0</v>
      </c>
    </row>
    <row r="293" spans="1:5" ht="12.75" hidden="1" customHeight="1" outlineLevel="1" x14ac:dyDescent="0.2">
      <c r="A293" s="28" t="str">
        <f>"   "&amp;Labels!B106</f>
        <v xml:space="preserve">   Preferred</v>
      </c>
      <c r="B293" s="70"/>
      <c r="C293" s="70"/>
      <c r="D293" s="70"/>
      <c r="E293" s="30"/>
    </row>
    <row r="294" spans="1:5" ht="12.75" hidden="1" customHeight="1" outlineLevel="1" x14ac:dyDescent="0.2">
      <c r="A294" s="89" t="str">
        <f>"      "&amp;Labels!B107</f>
        <v xml:space="preserve">      Series A</v>
      </c>
      <c r="B294" s="90">
        <f>Inputs!C53*0*(B209-B209)/365</f>
        <v>0</v>
      </c>
      <c r="C294" s="90">
        <f>Inputs!C53*B278*(C209-B209)/365</f>
        <v>0</v>
      </c>
      <c r="D294" s="90">
        <f>Inputs!C53*C278*(D209-C209)/365</f>
        <v>0</v>
      </c>
      <c r="E294" s="30">
        <f>SUM(B294:D294)</f>
        <v>0</v>
      </c>
    </row>
    <row r="295" spans="1:5" ht="12.75" hidden="1" customHeight="1" outlineLevel="1" x14ac:dyDescent="0.2">
      <c r="A295" s="28" t="str">
        <f>"      "&amp;Labels!C106</f>
        <v xml:space="preserve">      Subtotal</v>
      </c>
      <c r="B295" s="70">
        <f>B294</f>
        <v>0</v>
      </c>
      <c r="C295" s="70">
        <f>C294</f>
        <v>0</v>
      </c>
      <c r="D295" s="70">
        <f>D294</f>
        <v>0</v>
      </c>
      <c r="E295" s="30">
        <f>E294</f>
        <v>0</v>
      </c>
    </row>
    <row r="296" spans="1:5" ht="12.75" hidden="1" customHeight="1" outlineLevel="1" x14ac:dyDescent="0.2">
      <c r="A296" s="28" t="str">
        <f>"   "&amp;Labels!B108</f>
        <v xml:space="preserve">   Common</v>
      </c>
      <c r="B296" s="70">
        <f>Inputs!B76</f>
        <v>0</v>
      </c>
      <c r="C296" s="70">
        <f>Inputs!C76</f>
        <v>0</v>
      </c>
      <c r="D296" s="70">
        <f>Inputs!D76</f>
        <v>0</v>
      </c>
      <c r="E296" s="30">
        <f>SUM(B296:D296)</f>
        <v>0</v>
      </c>
    </row>
    <row r="297" spans="1:5" ht="12.75" hidden="1" customHeight="1" outlineLevel="1" x14ac:dyDescent="0.2">
      <c r="A297" s="28" t="str">
        <f>"   "&amp;Labels!B109</f>
        <v xml:space="preserve">   Warrant</v>
      </c>
      <c r="B297" s="70">
        <f>Boneyard!B26*0*(B209-B209)/365</f>
        <v>0</v>
      </c>
      <c r="C297" s="70">
        <f>Boneyard!B26*B281*(C209-B209)/365</f>
        <v>0</v>
      </c>
      <c r="D297" s="70">
        <f>Boneyard!B26*C281*(D209-C209)/365</f>
        <v>0</v>
      </c>
      <c r="E297" s="30">
        <f>SUM(B297:D297)</f>
        <v>0</v>
      </c>
    </row>
    <row r="298" spans="1:5" ht="12.75" hidden="1" customHeight="1" outlineLevel="1" x14ac:dyDescent="0.2">
      <c r="A298" s="28" t="str">
        <f>"   "&amp;Labels!B110</f>
        <v xml:space="preserve">   Option</v>
      </c>
      <c r="B298" s="70"/>
      <c r="C298" s="70"/>
      <c r="D298" s="70"/>
      <c r="E298" s="30"/>
    </row>
    <row r="299" spans="1:5" ht="12.75" hidden="1" customHeight="1" outlineLevel="1" x14ac:dyDescent="0.2">
      <c r="A299" s="89" t="str">
        <f>"      "&amp;Labels!B111</f>
        <v xml:space="preserve">      Series B</v>
      </c>
      <c r="B299" s="90">
        <f>Boneyard!B28*0*(B209-B209)/365</f>
        <v>0</v>
      </c>
      <c r="C299" s="90">
        <f>Boneyard!B28*B283*(C209-B209)/365</f>
        <v>0</v>
      </c>
      <c r="D299" s="90">
        <f>Boneyard!B28*C283*(D209-C209)/365</f>
        <v>0</v>
      </c>
      <c r="E299" s="30">
        <f>SUM(B299:D299)</f>
        <v>0</v>
      </c>
    </row>
    <row r="300" spans="1:5" ht="12.75" hidden="1" customHeight="1" outlineLevel="1" x14ac:dyDescent="0.2">
      <c r="A300" s="89" t="str">
        <f>"      "&amp;Labels!B112</f>
        <v xml:space="preserve">      Series A</v>
      </c>
      <c r="B300" s="90">
        <f>Boneyard!B29*0*(B209-B209)/365</f>
        <v>0</v>
      </c>
      <c r="C300" s="90">
        <f>Boneyard!B29*B284*(C209-B209)/365</f>
        <v>0</v>
      </c>
      <c r="D300" s="90">
        <f>Boneyard!B29*C284*(D209-C209)/365</f>
        <v>0</v>
      </c>
      <c r="E300" s="30">
        <f>SUM(B300:D300)</f>
        <v>0</v>
      </c>
    </row>
    <row r="301" spans="1:5" ht="12.75" hidden="1" customHeight="1" outlineLevel="1" x14ac:dyDescent="0.2">
      <c r="A301" s="28" t="str">
        <f>"      "&amp;Labels!C110</f>
        <v xml:space="preserve">      Subtotal</v>
      </c>
      <c r="B301" s="70">
        <f>SUM(B299:B300)</f>
        <v>0</v>
      </c>
      <c r="C301" s="70">
        <f>SUM(C299:C300)</f>
        <v>0</v>
      </c>
      <c r="D301" s="70">
        <f>SUM(D299:D300)</f>
        <v>0</v>
      </c>
      <c r="E301" s="30">
        <f>SUM(E299:E300)</f>
        <v>0</v>
      </c>
    </row>
    <row r="302" spans="1:5" ht="12.75" hidden="1" customHeight="1" outlineLevel="1" x14ac:dyDescent="0.2">
      <c r="A302" s="15" t="str">
        <f>"   "&amp;Labels!C102</f>
        <v xml:space="preserve">   Total</v>
      </c>
      <c r="B302" s="31">
        <f>SUM(B292,B295:B297,B301)</f>
        <v>0</v>
      </c>
      <c r="C302" s="31">
        <f>SUM(C292,C295:C297,C301)</f>
        <v>0</v>
      </c>
      <c r="D302" s="31">
        <f>SUM(D292,D295:D297,D301)</f>
        <v>0</v>
      </c>
      <c r="E302" s="32">
        <f>SUM(E292,E295:E297,E301)</f>
        <v>0</v>
      </c>
    </row>
    <row r="303" spans="1:5" ht="12.75" hidden="1" customHeight="1" outlineLevel="1" x14ac:dyDescent="0.2"/>
    <row r="304" spans="1:5" ht="12.75" hidden="1" customHeight="1" outlineLevel="1" collapsed="1" x14ac:dyDescent="0.2"/>
    <row r="305" ht="12.75" customHeight="1" collapsed="1" x14ac:dyDescent="0.2"/>
  </sheetData>
  <mergeCells count="12">
    <mergeCell ref="A206:B206"/>
    <mergeCell ref="A1:D1"/>
    <mergeCell ref="A2:D2"/>
    <mergeCell ref="A3:D3"/>
    <mergeCell ref="A4:D4"/>
    <mergeCell ref="A5:D5"/>
    <mergeCell ref="A6:B6"/>
    <mergeCell ref="A8:B8"/>
    <mergeCell ref="A9:B9"/>
    <mergeCell ref="A27:B27"/>
    <mergeCell ref="A28:B28"/>
    <mergeCell ref="A47:B47"/>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126"/>
  <sheetViews>
    <sheetView zoomScaleNormal="100" workbookViewId="0"/>
  </sheetViews>
  <sheetFormatPr defaultRowHeight="12.75" customHeight="1" outlineLevelRow="1" x14ac:dyDescent="0.2"/>
  <cols>
    <col min="1" max="1" width="24.140625" customWidth="1"/>
    <col min="2" max="4" width="9.5703125" customWidth="1"/>
    <col min="5" max="5" width="9.42578125" customWidth="1"/>
  </cols>
  <sheetData>
    <row r="1" spans="1:4" ht="12.75" customHeight="1" x14ac:dyDescent="0.2">
      <c r="A1" s="261" t="str">
        <f>"Capitalization Table"</f>
        <v>Capitalization Table</v>
      </c>
      <c r="B1" s="261"/>
      <c r="C1" s="261"/>
      <c r="D1" s="261"/>
    </row>
    <row r="2" spans="1:4" ht="12.75" customHeight="1" x14ac:dyDescent="0.2">
      <c r="A2" s="261" t="str">
        <f>Inputs!B8</f>
        <v>ABC Corp.</v>
      </c>
      <c r="B2" s="261"/>
      <c r="C2" s="261"/>
      <c r="D2" s="261"/>
    </row>
    <row r="3" spans="1:4" ht="12.75" customHeight="1" x14ac:dyDescent="0.2">
      <c r="A3" s="261" t="str">
        <f>IF("Shares"="(Default Input)","Ignore this sheet in normal use.","Investment Scenario "&amp;1&amp;", Valuation Scenario "&amp;1)</f>
        <v>Investment Scenario 1, Valuation Scenario 1</v>
      </c>
      <c r="B3" s="261"/>
      <c r="C3" s="261"/>
      <c r="D3" s="261"/>
    </row>
    <row r="4" spans="1:4" ht="12.75" customHeight="1" x14ac:dyDescent="0.2">
      <c r="A4" s="261" t="str">
        <f>"Shares"</f>
        <v>Shares</v>
      </c>
      <c r="B4" s="261"/>
      <c r="C4" s="261"/>
      <c r="D4" s="261"/>
    </row>
    <row r="5" spans="1:4" ht="12.75" customHeight="1" x14ac:dyDescent="0.2">
      <c r="A5" s="261" t="str">
        <f>""</f>
        <v/>
      </c>
      <c r="B5" s="261"/>
      <c r="C5" s="261"/>
      <c r="D5" s="261"/>
    </row>
    <row r="6" spans="1:4" ht="12.75" customHeight="1" x14ac:dyDescent="0.2">
      <c r="B6" s="6" t="str">
        <f>Labels!B98</f>
        <v>Seed</v>
      </c>
      <c r="C6" s="7" t="str">
        <f>Labels!B99</f>
        <v>Round A</v>
      </c>
      <c r="D6" s="8" t="str">
        <f>Labels!B100</f>
        <v>Exit</v>
      </c>
    </row>
    <row r="7" spans="1:4" ht="12.75" customHeight="1" x14ac:dyDescent="0.2">
      <c r="A7" s="4" t="str">
        <f>Labels!B20</f>
        <v>Event Date</v>
      </c>
      <c r="B7" s="94">
        <f>Investment!B209</f>
        <v>40391</v>
      </c>
      <c r="C7" s="94">
        <f>Investment!C209</f>
        <v>40725</v>
      </c>
      <c r="D7" s="95">
        <f>Investment!D209</f>
        <v>41061</v>
      </c>
    </row>
    <row r="9" spans="1:4" ht="12.75" customHeight="1" x14ac:dyDescent="0.2">
      <c r="A9" s="262" t="str">
        <f>"Common Shares by Origin"</f>
        <v>Common Shares by Origin</v>
      </c>
      <c r="B9" s="262"/>
      <c r="C9" s="262"/>
    </row>
    <row r="10" spans="1:4" ht="12.75" customHeight="1" x14ac:dyDescent="0.2">
      <c r="A10" s="1" t="str">
        <f>" "</f>
        <v xml:space="preserve"> </v>
      </c>
    </row>
    <row r="11" spans="1:4" ht="12.75" customHeight="1" x14ac:dyDescent="0.2">
      <c r="B11" s="6" t="str">
        <f>Labels!B98</f>
        <v>Seed</v>
      </c>
      <c r="C11" s="7" t="str">
        <f>Labels!B99</f>
        <v>Round A</v>
      </c>
      <c r="D11" s="8" t="str">
        <f>Labels!B100</f>
        <v>Exit</v>
      </c>
    </row>
    <row r="12" spans="1:4" ht="12.75" customHeight="1" x14ac:dyDescent="0.2">
      <c r="A12" s="11" t="str">
        <f>Labels!B76</f>
        <v>Common Shares by Origin</v>
      </c>
      <c r="B12" s="60"/>
      <c r="C12" s="60"/>
      <c r="D12" s="96"/>
    </row>
    <row r="13" spans="1:4" ht="12.75" customHeight="1" x14ac:dyDescent="0.2">
      <c r="A13" s="28" t="str">
        <f>"   "&amp;Labels!B103</f>
        <v xml:space="preserve">   Conv Note</v>
      </c>
      <c r="B13" s="97"/>
      <c r="C13" s="97"/>
      <c r="D13" s="98"/>
    </row>
    <row r="14" spans="1:4" ht="12.75" customHeight="1" x14ac:dyDescent="0.2">
      <c r="A14" s="89" t="str">
        <f>"      "&amp;Labels!B104</f>
        <v xml:space="preserve">      Series B</v>
      </c>
      <c r="B14" s="99">
        <f>0*Inputs!B74+B96</f>
        <v>0</v>
      </c>
      <c r="C14" s="99">
        <f>B14*Inputs!C74+C96</f>
        <v>0</v>
      </c>
      <c r="D14" s="100">
        <f>C14*Inputs!D74+D96</f>
        <v>0</v>
      </c>
    </row>
    <row r="15" spans="1:4" ht="12.75" customHeight="1" x14ac:dyDescent="0.2">
      <c r="A15" s="89" t="str">
        <f>"      "&amp;Labels!B105</f>
        <v xml:space="preserve">      Series A</v>
      </c>
      <c r="B15" s="99">
        <f>0*Inputs!B74+B97</f>
        <v>0</v>
      </c>
      <c r="C15" s="99">
        <f>B15*Inputs!C74+C97</f>
        <v>0</v>
      </c>
      <c r="D15" s="100">
        <f>C15*Inputs!D74+D97</f>
        <v>0</v>
      </c>
    </row>
    <row r="16" spans="1:4" ht="12.75" customHeight="1" x14ac:dyDescent="0.2">
      <c r="A16" s="28" t="str">
        <f>"   "&amp;Labels!B106</f>
        <v xml:space="preserve">   Preferred</v>
      </c>
      <c r="B16" s="97"/>
      <c r="C16" s="97"/>
      <c r="D16" s="98"/>
    </row>
    <row r="17" spans="1:5" ht="12.75" customHeight="1" x14ac:dyDescent="0.2">
      <c r="A17" s="89" t="str">
        <f>"      "&amp;Labels!B107</f>
        <v xml:space="preserve">      Series A</v>
      </c>
      <c r="B17" s="99">
        <f>0*Inputs!B74+B100</f>
        <v>0</v>
      </c>
      <c r="C17" s="99">
        <f>B17*Inputs!C74+C100</f>
        <v>0</v>
      </c>
      <c r="D17" s="100">
        <f>C17*Inputs!D74+D100</f>
        <v>0</v>
      </c>
    </row>
    <row r="18" spans="1:5" ht="12.75" customHeight="1" x14ac:dyDescent="0.2">
      <c r="A18" s="28" t="str">
        <f>"   "&amp;Labels!B108</f>
        <v xml:space="preserve">   Common</v>
      </c>
      <c r="B18" s="97">
        <f>0*Inputs!B74+B72</f>
        <v>1</v>
      </c>
      <c r="C18" s="97">
        <f>B18*Inputs!C74+C72</f>
        <v>1</v>
      </c>
      <c r="D18" s="98">
        <f>C18*Inputs!D74+D72</f>
        <v>1</v>
      </c>
    </row>
    <row r="19" spans="1:5" ht="12.75" customHeight="1" x14ac:dyDescent="0.2">
      <c r="A19" s="28" t="str">
        <f>"   "&amp;Labels!B109</f>
        <v xml:space="preserve">   Warrant</v>
      </c>
      <c r="B19" s="97">
        <f>0*Inputs!B74+B103</f>
        <v>0</v>
      </c>
      <c r="C19" s="97">
        <f>B19*Inputs!C74+C103</f>
        <v>0</v>
      </c>
      <c r="D19" s="98">
        <f>C19*Inputs!D74+D103</f>
        <v>0</v>
      </c>
    </row>
    <row r="20" spans="1:5" ht="12.75" customHeight="1" x14ac:dyDescent="0.2">
      <c r="A20" s="28" t="str">
        <f>"   "&amp;Labels!B110</f>
        <v xml:space="preserve">   Option</v>
      </c>
      <c r="B20" s="97"/>
      <c r="C20" s="97"/>
      <c r="D20" s="98"/>
    </row>
    <row r="21" spans="1:5" ht="12.75" customHeight="1" x14ac:dyDescent="0.2">
      <c r="A21" s="89" t="str">
        <f>"      "&amp;Labels!B111</f>
        <v xml:space="preserve">      Series B</v>
      </c>
      <c r="B21" s="99">
        <f>0*Inputs!B74+B105</f>
        <v>0</v>
      </c>
      <c r="C21" s="99">
        <f>B21*Inputs!C74+C105</f>
        <v>0</v>
      </c>
      <c r="D21" s="100">
        <f>C21*Inputs!D74+D105</f>
        <v>0</v>
      </c>
    </row>
    <row r="22" spans="1:5" ht="12.75" customHeight="1" x14ac:dyDescent="0.2">
      <c r="A22" s="101" t="str">
        <f>"      "&amp;Labels!B112</f>
        <v xml:space="preserve">      Series A</v>
      </c>
      <c r="B22" s="102">
        <f>0*Inputs!B74+B106</f>
        <v>0</v>
      </c>
      <c r="C22" s="102">
        <f>B22*Inputs!C74+C106</f>
        <v>0</v>
      </c>
      <c r="D22" s="103">
        <f>C22*Inputs!D74+D106</f>
        <v>0</v>
      </c>
    </row>
    <row r="25" spans="1:5" ht="12.75" customHeight="1" x14ac:dyDescent="0.2">
      <c r="A25" s="262" t="str">
        <f>"Net Units of Securities at End of Round"</f>
        <v>Net Units of Securities at End of Round</v>
      </c>
      <c r="B25" s="262"/>
      <c r="C25" s="262"/>
      <c r="D25" s="262"/>
    </row>
    <row r="26" spans="1:5" ht="12.75" customHeight="1" x14ac:dyDescent="0.2">
      <c r="A26" s="1" t="str">
        <f>" "</f>
        <v xml:space="preserve"> </v>
      </c>
    </row>
    <row r="27" spans="1:5" ht="12.75" customHeight="1" x14ac:dyDescent="0.2">
      <c r="B27" s="6" t="str">
        <f>Labels!B98</f>
        <v>Seed</v>
      </c>
      <c r="C27" s="7" t="str">
        <f>Labels!B99</f>
        <v>Round A</v>
      </c>
      <c r="D27" s="7" t="str">
        <f>Labels!B100</f>
        <v>Exit</v>
      </c>
      <c r="E27" s="25" t="str">
        <f>Labels!C97</f>
        <v>Total</v>
      </c>
    </row>
    <row r="28" spans="1:5" ht="12.75" customHeight="1" x14ac:dyDescent="0.2">
      <c r="A28" s="11" t="str">
        <f>Labels!B78</f>
        <v>Net Units</v>
      </c>
      <c r="B28" s="60"/>
      <c r="C28" s="60"/>
      <c r="D28" s="60"/>
      <c r="E28" s="61"/>
    </row>
    <row r="29" spans="1:5" ht="12.75" customHeight="1" x14ac:dyDescent="0.2">
      <c r="A29" s="28" t="str">
        <f>"   "&amp;Labels!B103</f>
        <v xml:space="preserve">   Conv Note</v>
      </c>
      <c r="B29" s="97"/>
      <c r="C29" s="97"/>
      <c r="D29" s="97"/>
      <c r="E29" s="63"/>
    </row>
    <row r="30" spans="1:5" ht="12.75" customHeight="1" x14ac:dyDescent="0.2">
      <c r="A30" s="89" t="str">
        <f>"      "&amp;Labels!B104</f>
        <v xml:space="preserve">      Series B</v>
      </c>
      <c r="B30" s="99">
        <f t="shared" ref="B30:D31" si="0">0/3/2</f>
        <v>0</v>
      </c>
      <c r="C30" s="99">
        <f t="shared" si="0"/>
        <v>0</v>
      </c>
      <c r="D30" s="99">
        <f t="shared" si="0"/>
        <v>0</v>
      </c>
      <c r="E30" s="63">
        <f>SUM(B30:D30)</f>
        <v>0</v>
      </c>
    </row>
    <row r="31" spans="1:5" ht="12.75" customHeight="1" x14ac:dyDescent="0.2">
      <c r="A31" s="89" t="str">
        <f>"      "&amp;Labels!B105</f>
        <v xml:space="preserve">      Series A</v>
      </c>
      <c r="B31" s="99">
        <f t="shared" si="0"/>
        <v>0</v>
      </c>
      <c r="C31" s="99">
        <f t="shared" si="0"/>
        <v>0</v>
      </c>
      <c r="D31" s="99">
        <f t="shared" si="0"/>
        <v>0</v>
      </c>
      <c r="E31" s="63">
        <f>SUM(B31:D31)</f>
        <v>0</v>
      </c>
    </row>
    <row r="32" spans="1:5" ht="12.75" customHeight="1" x14ac:dyDescent="0.2">
      <c r="A32" s="28" t="str">
        <f>"      "&amp;Labels!C103</f>
        <v xml:space="preserve">      Subtotal</v>
      </c>
      <c r="B32" s="97">
        <f>SUM(B30:B31)</f>
        <v>0</v>
      </c>
      <c r="C32" s="97">
        <f>SUM(C30:C31)</f>
        <v>0</v>
      </c>
      <c r="D32" s="97">
        <f>SUM(D30:D31)</f>
        <v>0</v>
      </c>
      <c r="E32" s="63">
        <f>SUM(E30:E31)</f>
        <v>0</v>
      </c>
    </row>
    <row r="33" spans="1:5" ht="12.75" customHeight="1" x14ac:dyDescent="0.2">
      <c r="A33" s="28" t="str">
        <f>"   "&amp;Labels!B106</f>
        <v xml:space="preserve">   Preferred</v>
      </c>
      <c r="B33" s="97"/>
      <c r="C33" s="97"/>
      <c r="D33" s="97"/>
      <c r="E33" s="63"/>
    </row>
    <row r="34" spans="1:5" ht="12.75" customHeight="1" x14ac:dyDescent="0.2">
      <c r="A34" s="89" t="str">
        <f>"      "&amp;Labels!B107</f>
        <v xml:space="preserve">      Series A</v>
      </c>
      <c r="B34" s="99">
        <f>B85-B100</f>
        <v>0</v>
      </c>
      <c r="C34" s="99">
        <f>C85-C100</f>
        <v>0</v>
      </c>
      <c r="D34" s="99">
        <f>D85-D100</f>
        <v>0</v>
      </c>
      <c r="E34" s="63">
        <f>SUM(B34:D34)</f>
        <v>0</v>
      </c>
    </row>
    <row r="35" spans="1:5" ht="12.75" customHeight="1" x14ac:dyDescent="0.2">
      <c r="A35" s="28" t="str">
        <f>"      "&amp;Labels!C106</f>
        <v xml:space="preserve">      Subtotal</v>
      </c>
      <c r="B35" s="97">
        <f>B34</f>
        <v>0</v>
      </c>
      <c r="C35" s="97">
        <f>C34</f>
        <v>0</v>
      </c>
      <c r="D35" s="97">
        <f>D34</f>
        <v>0</v>
      </c>
      <c r="E35" s="63">
        <f>E34</f>
        <v>0</v>
      </c>
    </row>
    <row r="36" spans="1:5" ht="12.75" customHeight="1" x14ac:dyDescent="0.2">
      <c r="A36" s="28" t="str">
        <f>"   "&amp;Labels!B108</f>
        <v xml:space="preserve">   Common</v>
      </c>
      <c r="B36" s="97">
        <f>B87+B108</f>
        <v>1</v>
      </c>
      <c r="C36" s="97">
        <f>C87+C108</f>
        <v>1</v>
      </c>
      <c r="D36" s="97">
        <f>D87+D108</f>
        <v>1</v>
      </c>
      <c r="E36" s="63">
        <f>SUM(B36:D36)</f>
        <v>3</v>
      </c>
    </row>
    <row r="37" spans="1:5" ht="12.75" customHeight="1" x14ac:dyDescent="0.2">
      <c r="A37" s="28" t="str">
        <f>"   "&amp;Labels!B109</f>
        <v xml:space="preserve">   Warrant</v>
      </c>
      <c r="B37" s="97">
        <f>B88-B103</f>
        <v>0</v>
      </c>
      <c r="C37" s="97">
        <f>C88-C103</f>
        <v>0</v>
      </c>
      <c r="D37" s="97">
        <f>D88-D103</f>
        <v>0</v>
      </c>
      <c r="E37" s="63">
        <f>SUM(B37:D37)</f>
        <v>0</v>
      </c>
    </row>
    <row r="38" spans="1:5" ht="12.75" customHeight="1" x14ac:dyDescent="0.2">
      <c r="A38" s="28" t="str">
        <f>"   "&amp;Labels!B110</f>
        <v xml:space="preserve">   Option</v>
      </c>
      <c r="B38" s="97"/>
      <c r="C38" s="97"/>
      <c r="D38" s="97"/>
      <c r="E38" s="63"/>
    </row>
    <row r="39" spans="1:5" ht="12.75" customHeight="1" x14ac:dyDescent="0.2">
      <c r="A39" s="89" t="str">
        <f>"      "&amp;Labels!B111</f>
        <v xml:space="preserve">      Series B</v>
      </c>
      <c r="B39" s="99">
        <f t="shared" ref="B39:D40" si="1">B90-B105</f>
        <v>0</v>
      </c>
      <c r="C39" s="99">
        <f t="shared" si="1"/>
        <v>0</v>
      </c>
      <c r="D39" s="99">
        <f t="shared" si="1"/>
        <v>0</v>
      </c>
      <c r="E39" s="63">
        <f>SUM(B39:D39)</f>
        <v>0</v>
      </c>
    </row>
    <row r="40" spans="1:5" ht="12.75" customHeight="1" x14ac:dyDescent="0.2">
      <c r="A40" s="89" t="str">
        <f>"      "&amp;Labels!B112</f>
        <v xml:space="preserve">      Series A</v>
      </c>
      <c r="B40" s="99">
        <f t="shared" si="1"/>
        <v>0</v>
      </c>
      <c r="C40" s="99">
        <f t="shared" si="1"/>
        <v>0</v>
      </c>
      <c r="D40" s="99">
        <f t="shared" si="1"/>
        <v>0</v>
      </c>
      <c r="E40" s="63">
        <f>SUM(B40:D40)</f>
        <v>0</v>
      </c>
    </row>
    <row r="41" spans="1:5" ht="12.75" customHeight="1" x14ac:dyDescent="0.2">
      <c r="A41" s="28" t="str">
        <f>"      "&amp;Labels!C110</f>
        <v xml:space="preserve">      Subtotal</v>
      </c>
      <c r="B41" s="97">
        <f>SUM(B39:B40)</f>
        <v>0</v>
      </c>
      <c r="C41" s="97">
        <f>SUM(C39:C40)</f>
        <v>0</v>
      </c>
      <c r="D41" s="97">
        <f>SUM(D39:D40)</f>
        <v>0</v>
      </c>
      <c r="E41" s="63">
        <f>SUM(E39:E40)</f>
        <v>0</v>
      </c>
    </row>
    <row r="42" spans="1:5" ht="12.75" customHeight="1" x14ac:dyDescent="0.2">
      <c r="A42" s="15" t="str">
        <f>"   "&amp;Labels!C102</f>
        <v xml:space="preserve">   Total</v>
      </c>
      <c r="B42" s="64">
        <f>SUM(B32,B35:B37,B41)</f>
        <v>1</v>
      </c>
      <c r="C42" s="64">
        <f>SUM(C32,C35:C37,C41)</f>
        <v>1</v>
      </c>
      <c r="D42" s="64">
        <f>SUM(D32,D35:D37,D41)</f>
        <v>1</v>
      </c>
      <c r="E42" s="65">
        <f>SUM(E32,E35:E37,E41)</f>
        <v>3</v>
      </c>
    </row>
    <row r="45" spans="1:5" ht="12.75" customHeight="1" x14ac:dyDescent="0.2">
      <c r="A45" s="262" t="str">
        <f>"Net Units During Rounds"</f>
        <v>Net Units During Rounds</v>
      </c>
      <c r="B45" s="262"/>
      <c r="C45" s="262"/>
    </row>
    <row r="46" spans="1:5" ht="12.75" hidden="1" customHeight="1" outlineLevel="1" x14ac:dyDescent="0.2">
      <c r="A46" s="1" t="str">
        <f>" "</f>
        <v xml:space="preserve"> </v>
      </c>
    </row>
    <row r="47" spans="1:5" ht="12.75" hidden="1" customHeight="1" outlineLevel="1" x14ac:dyDescent="0.2">
      <c r="B47" s="6" t="str">
        <f>Labels!B98</f>
        <v>Seed</v>
      </c>
      <c r="C47" s="7" t="str">
        <f>Labels!B99</f>
        <v>Round A</v>
      </c>
      <c r="D47" s="7" t="str">
        <f>Labels!B100</f>
        <v>Exit</v>
      </c>
      <c r="E47" s="25" t="str">
        <f>Labels!C97</f>
        <v>Total</v>
      </c>
    </row>
    <row r="48" spans="1:5" ht="12.75" hidden="1" customHeight="1" outlineLevel="1" x14ac:dyDescent="0.2">
      <c r="A48" s="11" t="str">
        <f>Labels!B78</f>
        <v>Net Units</v>
      </c>
      <c r="B48" s="60"/>
      <c r="C48" s="60"/>
      <c r="D48" s="60"/>
      <c r="E48" s="61"/>
    </row>
    <row r="49" spans="1:5" ht="12.75" hidden="1" customHeight="1" outlineLevel="1" x14ac:dyDescent="0.2">
      <c r="A49" s="28" t="str">
        <f>"   "&amp;Labels!B91</f>
        <v xml:space="preserve">   Start</v>
      </c>
      <c r="B49" s="97"/>
      <c r="C49" s="97"/>
      <c r="D49" s="97"/>
      <c r="E49" s="63"/>
    </row>
    <row r="50" spans="1:5" ht="12.75" hidden="1" customHeight="1" outlineLevel="1" x14ac:dyDescent="0.2">
      <c r="A50" s="89" t="str">
        <f>"      "&amp;Labels!B103</f>
        <v xml:space="preserve">      Conv Note</v>
      </c>
      <c r="B50" s="99"/>
      <c r="C50" s="99"/>
      <c r="D50" s="99"/>
      <c r="E50" s="63"/>
    </row>
    <row r="51" spans="1:5" ht="12.75" hidden="1" customHeight="1" outlineLevel="1" x14ac:dyDescent="0.2">
      <c r="A51" s="89" t="str">
        <f>"         "&amp;Labels!B104</f>
        <v xml:space="preserve">         Series B</v>
      </c>
      <c r="B51" s="104">
        <f>0*Inputs!B74</f>
        <v>0</v>
      </c>
      <c r="C51" s="104">
        <f>B111*Inputs!C74</f>
        <v>0</v>
      </c>
      <c r="D51" s="104">
        <f>C111*Inputs!D74</f>
        <v>0</v>
      </c>
      <c r="E51" s="63">
        <f>SUM(B51:D51)</f>
        <v>0</v>
      </c>
    </row>
    <row r="52" spans="1:5" ht="12.75" hidden="1" customHeight="1" outlineLevel="1" x14ac:dyDescent="0.2">
      <c r="A52" s="89" t="str">
        <f>"         "&amp;Labels!B105</f>
        <v xml:space="preserve">         Series A</v>
      </c>
      <c r="B52" s="104">
        <f>0*Inputs!B74</f>
        <v>0</v>
      </c>
      <c r="C52" s="104">
        <f>B112*Inputs!C74</f>
        <v>0</v>
      </c>
      <c r="D52" s="104">
        <f>C112*Inputs!D74</f>
        <v>0</v>
      </c>
      <c r="E52" s="63">
        <f>SUM(B52:D52)</f>
        <v>0</v>
      </c>
    </row>
    <row r="53" spans="1:5" ht="12.75" hidden="1" customHeight="1" outlineLevel="1" x14ac:dyDescent="0.2">
      <c r="A53" s="89" t="str">
        <f>"         "&amp;Labels!C103</f>
        <v xml:space="preserve">         Subtotal</v>
      </c>
      <c r="B53" s="99">
        <f>SUM(B51:B52)</f>
        <v>0</v>
      </c>
      <c r="C53" s="99">
        <f>SUM(C51:C52)</f>
        <v>0</v>
      </c>
      <c r="D53" s="99">
        <f>SUM(D51:D52)</f>
        <v>0</v>
      </c>
      <c r="E53" s="63">
        <f>SUM(E51:E52)</f>
        <v>0</v>
      </c>
    </row>
    <row r="54" spans="1:5" ht="12.75" hidden="1" customHeight="1" outlineLevel="1" x14ac:dyDescent="0.2">
      <c r="A54" s="89" t="str">
        <f>"      "&amp;Labels!B106</f>
        <v xml:space="preserve">      Preferred</v>
      </c>
      <c r="B54" s="99"/>
      <c r="C54" s="99"/>
      <c r="D54" s="99"/>
      <c r="E54" s="63"/>
    </row>
    <row r="55" spans="1:5" ht="12.75" hidden="1" customHeight="1" outlineLevel="1" x14ac:dyDescent="0.2">
      <c r="A55" s="89" t="str">
        <f>"         "&amp;Labels!B107</f>
        <v xml:space="preserve">         Series A</v>
      </c>
      <c r="B55" s="104">
        <f>0*Inputs!B74</f>
        <v>0</v>
      </c>
      <c r="C55" s="104">
        <f>B115*Inputs!C74</f>
        <v>0</v>
      </c>
      <c r="D55" s="104">
        <f>C115*Inputs!D74</f>
        <v>0</v>
      </c>
      <c r="E55" s="63">
        <f>SUM(B55:D55)</f>
        <v>0</v>
      </c>
    </row>
    <row r="56" spans="1:5" ht="12.75" hidden="1" customHeight="1" outlineLevel="1" x14ac:dyDescent="0.2">
      <c r="A56" s="89" t="str">
        <f>"         "&amp;Labels!C106</f>
        <v xml:space="preserve">         Subtotal</v>
      </c>
      <c r="B56" s="99">
        <f>B55</f>
        <v>0</v>
      </c>
      <c r="C56" s="99">
        <f>C55</f>
        <v>0</v>
      </c>
      <c r="D56" s="99">
        <f>D55</f>
        <v>0</v>
      </c>
      <c r="E56" s="63">
        <f>E55</f>
        <v>0</v>
      </c>
    </row>
    <row r="57" spans="1:5" ht="12.75" hidden="1" customHeight="1" outlineLevel="1" x14ac:dyDescent="0.2">
      <c r="A57" s="89" t="str">
        <f>"      "&amp;Labels!B108</f>
        <v xml:space="preserve">      Common</v>
      </c>
      <c r="B57" s="99">
        <f>0*Inputs!B74</f>
        <v>0</v>
      </c>
      <c r="C57" s="99">
        <f>B117*Inputs!C74</f>
        <v>1</v>
      </c>
      <c r="D57" s="99">
        <f>C117*Inputs!D74</f>
        <v>1</v>
      </c>
      <c r="E57" s="63">
        <f>SUM(B57:D57)</f>
        <v>2</v>
      </c>
    </row>
    <row r="58" spans="1:5" ht="12.75" hidden="1" customHeight="1" outlineLevel="1" x14ac:dyDescent="0.2">
      <c r="A58" s="89" t="str">
        <f>"      "&amp;Labels!B109</f>
        <v xml:space="preserve">      Warrant</v>
      </c>
      <c r="B58" s="99">
        <f>0*Inputs!B74</f>
        <v>0</v>
      </c>
      <c r="C58" s="99">
        <f>B118*Inputs!C74</f>
        <v>0</v>
      </c>
      <c r="D58" s="99">
        <f>C118*Inputs!D74</f>
        <v>0</v>
      </c>
      <c r="E58" s="63">
        <f>SUM(B58:D58)</f>
        <v>0</v>
      </c>
    </row>
    <row r="59" spans="1:5" ht="12.75" hidden="1" customHeight="1" outlineLevel="1" x14ac:dyDescent="0.2">
      <c r="A59" s="89" t="str">
        <f>"      "&amp;Labels!B110</f>
        <v xml:space="preserve">      Option</v>
      </c>
      <c r="B59" s="99"/>
      <c r="C59" s="99"/>
      <c r="D59" s="99"/>
      <c r="E59" s="63"/>
    </row>
    <row r="60" spans="1:5" ht="12.75" hidden="1" customHeight="1" outlineLevel="1" x14ac:dyDescent="0.2">
      <c r="A60" s="89" t="str">
        <f>"         "&amp;Labels!B111</f>
        <v xml:space="preserve">         Series B</v>
      </c>
      <c r="B60" s="104">
        <f>0*Inputs!B74</f>
        <v>0</v>
      </c>
      <c r="C60" s="104">
        <f>B120*Inputs!C74</f>
        <v>0</v>
      </c>
      <c r="D60" s="104">
        <f>C120*Inputs!D74</f>
        <v>0</v>
      </c>
      <c r="E60" s="63">
        <f>SUM(B60:D60)</f>
        <v>0</v>
      </c>
    </row>
    <row r="61" spans="1:5" ht="12.75" hidden="1" customHeight="1" outlineLevel="1" x14ac:dyDescent="0.2">
      <c r="A61" s="89" t="str">
        <f>"         "&amp;Labels!B112</f>
        <v xml:space="preserve">         Series A</v>
      </c>
      <c r="B61" s="104">
        <f>0*Inputs!B74</f>
        <v>0</v>
      </c>
      <c r="C61" s="104">
        <f>B121*Inputs!C74</f>
        <v>0</v>
      </c>
      <c r="D61" s="104">
        <f>C121*Inputs!D74</f>
        <v>0</v>
      </c>
      <c r="E61" s="63">
        <f>SUM(B61:D61)</f>
        <v>0</v>
      </c>
    </row>
    <row r="62" spans="1:5" ht="12.75" hidden="1" customHeight="1" outlineLevel="1" x14ac:dyDescent="0.2">
      <c r="A62" s="89" t="str">
        <f>"         "&amp;Labels!C110</f>
        <v xml:space="preserve">         Subtotal</v>
      </c>
      <c r="B62" s="99">
        <f>SUM(B60:B61)</f>
        <v>0</v>
      </c>
      <c r="C62" s="99">
        <f>SUM(C60:C61)</f>
        <v>0</v>
      </c>
      <c r="D62" s="99">
        <f>SUM(D60:D61)</f>
        <v>0</v>
      </c>
      <c r="E62" s="63">
        <f>SUM(E60:E61)</f>
        <v>0</v>
      </c>
    </row>
    <row r="63" spans="1:5" ht="12.75" hidden="1" customHeight="1" outlineLevel="1" x14ac:dyDescent="0.2">
      <c r="A63" s="28" t="str">
        <f>"      "&amp;Labels!C102</f>
        <v xml:space="preserve">      Total</v>
      </c>
      <c r="B63" s="97">
        <f>SUM(B53,B56:B58,B62)</f>
        <v>0</v>
      </c>
      <c r="C63" s="97">
        <f>SUM(C53,C56:C58,C62)</f>
        <v>1</v>
      </c>
      <c r="D63" s="97">
        <f>SUM(D53,D56:D58,D62)</f>
        <v>1</v>
      </c>
      <c r="E63" s="63">
        <f>SUM(E53,E56:E58,E62)</f>
        <v>2</v>
      </c>
    </row>
    <row r="64" spans="1:5" ht="12.75" hidden="1" customHeight="1" outlineLevel="1" x14ac:dyDescent="0.2">
      <c r="A64" s="28" t="str">
        <f>"   "&amp;Labels!B92</f>
        <v xml:space="preserve">   New Sales</v>
      </c>
      <c r="B64" s="97"/>
      <c r="C64" s="97"/>
      <c r="D64" s="97"/>
      <c r="E64" s="63"/>
    </row>
    <row r="65" spans="1:5" ht="12.75" hidden="1" customHeight="1" outlineLevel="1" x14ac:dyDescent="0.2">
      <c r="A65" s="89" t="str">
        <f>"      "&amp;Labels!B103</f>
        <v xml:space="preserve">      Conv Note</v>
      </c>
      <c r="B65" s="99"/>
      <c r="C65" s="99"/>
      <c r="D65" s="99"/>
      <c r="E65" s="63"/>
    </row>
    <row r="66" spans="1:5" ht="12.75" hidden="1" customHeight="1" outlineLevel="1" x14ac:dyDescent="0.2">
      <c r="A66" s="89" t="str">
        <f>"         "&amp;Labels!B104</f>
        <v xml:space="preserve">         Series B</v>
      </c>
      <c r="B66" s="104">
        <f t="shared" ref="B66:D67" si="2">0/3/2</f>
        <v>0</v>
      </c>
      <c r="C66" s="104">
        <f t="shared" si="2"/>
        <v>0</v>
      </c>
      <c r="D66" s="104">
        <f t="shared" si="2"/>
        <v>0</v>
      </c>
      <c r="E66" s="63">
        <f>SUM(B66:D66)</f>
        <v>0</v>
      </c>
    </row>
    <row r="67" spans="1:5" ht="12.75" hidden="1" customHeight="1" outlineLevel="1" x14ac:dyDescent="0.2">
      <c r="A67" s="89" t="str">
        <f>"         "&amp;Labels!B105</f>
        <v xml:space="preserve">         Series A</v>
      </c>
      <c r="B67" s="104">
        <f t="shared" si="2"/>
        <v>0</v>
      </c>
      <c r="C67" s="104">
        <f t="shared" si="2"/>
        <v>0</v>
      </c>
      <c r="D67" s="104">
        <f t="shared" si="2"/>
        <v>0</v>
      </c>
      <c r="E67" s="63">
        <f>SUM(B67:D67)</f>
        <v>0</v>
      </c>
    </row>
    <row r="68" spans="1:5" ht="12.75" hidden="1" customHeight="1" outlineLevel="1" x14ac:dyDescent="0.2">
      <c r="A68" s="89" t="str">
        <f>"         "&amp;Labels!C103</f>
        <v xml:space="preserve">         Subtotal</v>
      </c>
      <c r="B68" s="99">
        <f>SUM(B66:B67)</f>
        <v>0</v>
      </c>
      <c r="C68" s="99">
        <f>SUM(C66:C67)</f>
        <v>0</v>
      </c>
      <c r="D68" s="99">
        <f>SUM(D66:D67)</f>
        <v>0</v>
      </c>
      <c r="E68" s="63">
        <f>SUM(E66:E67)</f>
        <v>0</v>
      </c>
    </row>
    <row r="69" spans="1:5" ht="12.75" hidden="1" customHeight="1" outlineLevel="1" x14ac:dyDescent="0.2">
      <c r="A69" s="89" t="str">
        <f>"      "&amp;Labels!B106</f>
        <v xml:space="preserve">      Preferred</v>
      </c>
      <c r="B69" s="99"/>
      <c r="C69" s="99"/>
      <c r="D69" s="99"/>
      <c r="E69" s="63"/>
    </row>
    <row r="70" spans="1:5" ht="12.75" hidden="1" customHeight="1" outlineLevel="1" x14ac:dyDescent="0.2">
      <c r="A70" s="89" t="str">
        <f>"         "&amp;Labels!B107</f>
        <v xml:space="preserve">         Series A</v>
      </c>
      <c r="B70" s="104">
        <f>Investment!B233/'(Other Variables)'!B23/(1-Inputs!B50)</f>
        <v>0</v>
      </c>
      <c r="C70" s="104">
        <f>Investment!C233/'(Other Variables)'!C23/(1-Inputs!C50)</f>
        <v>0</v>
      </c>
      <c r="D70" s="104">
        <f>Investment!D233/'(Other Variables)'!D23/(1-Inputs!D50)</f>
        <v>0</v>
      </c>
      <c r="E70" s="63">
        <f>SUM(B70:D70)</f>
        <v>0</v>
      </c>
    </row>
    <row r="71" spans="1:5" ht="12.75" hidden="1" customHeight="1" outlineLevel="1" x14ac:dyDescent="0.2">
      <c r="A71" s="89" t="str">
        <f>"         "&amp;Labels!C106</f>
        <v xml:space="preserve">         Subtotal</v>
      </c>
      <c r="B71" s="99">
        <f>B70</f>
        <v>0</v>
      </c>
      <c r="C71" s="99">
        <f>C70</f>
        <v>0</v>
      </c>
      <c r="D71" s="99">
        <f>D70</f>
        <v>0</v>
      </c>
      <c r="E71" s="63">
        <f>E70</f>
        <v>0</v>
      </c>
    </row>
    <row r="72" spans="1:5" ht="12.75" hidden="1" customHeight="1" outlineLevel="1" x14ac:dyDescent="0.2">
      <c r="A72" s="89" t="str">
        <f>"      "&amp;Labels!B108</f>
        <v xml:space="preserve">      Common</v>
      </c>
      <c r="B72" s="99">
        <f>IF('(Other Variables)'!B25=0,0,Investment!B235/'(Other Variables)'!B25)</f>
        <v>1</v>
      </c>
      <c r="C72" s="99">
        <f>IF('(Other Variables)'!C25=0,0,Investment!C235/'(Other Variables)'!C25)</f>
        <v>0</v>
      </c>
      <c r="D72" s="99">
        <f>IF('(Other Variables)'!D25=0,0,Investment!D235/'(Other Variables)'!D25)</f>
        <v>0</v>
      </c>
      <c r="E72" s="63">
        <f>SUM(B72:D72)</f>
        <v>1</v>
      </c>
    </row>
    <row r="73" spans="1:5" ht="12.75" hidden="1" customHeight="1" outlineLevel="1" x14ac:dyDescent="0.2">
      <c r="A73" s="89" t="str">
        <f>"      "&amp;Labels!B109</f>
        <v xml:space="preserve">      Warrant</v>
      </c>
      <c r="B73" s="99">
        <f>'(Other Variables)'!B119</f>
        <v>0</v>
      </c>
      <c r="C73" s="99">
        <f>'(Other Variables)'!C119</f>
        <v>0</v>
      </c>
      <c r="D73" s="99">
        <f>'(Other Variables)'!D119</f>
        <v>0</v>
      </c>
      <c r="E73" s="63">
        <f>SUM(B73:D73)</f>
        <v>0</v>
      </c>
    </row>
    <row r="74" spans="1:5" ht="12.75" hidden="1" customHeight="1" outlineLevel="1" x14ac:dyDescent="0.2">
      <c r="A74" s="89" t="str">
        <f>"      "&amp;Labels!B110</f>
        <v xml:space="preserve">      Option</v>
      </c>
      <c r="B74" s="99"/>
      <c r="C74" s="99"/>
      <c r="D74" s="99"/>
      <c r="E74" s="63"/>
    </row>
    <row r="75" spans="1:5" ht="12.75" hidden="1" customHeight="1" outlineLevel="1" x14ac:dyDescent="0.2">
      <c r="A75" s="89" t="str">
        <f>"         "&amp;Labels!B111</f>
        <v xml:space="preserve">         Series B</v>
      </c>
      <c r="B75" s="104">
        <f>'(Other Variables)'!B121</f>
        <v>0</v>
      </c>
      <c r="C75" s="104">
        <f>'(Other Variables)'!C121</f>
        <v>0</v>
      </c>
      <c r="D75" s="104">
        <f>'(Other Variables)'!D121</f>
        <v>0</v>
      </c>
      <c r="E75" s="63">
        <f>SUM(B75:D75)</f>
        <v>0</v>
      </c>
    </row>
    <row r="76" spans="1:5" ht="12.75" hidden="1" customHeight="1" outlineLevel="1" x14ac:dyDescent="0.2">
      <c r="A76" s="89" t="str">
        <f>"         "&amp;Labels!B112</f>
        <v xml:space="preserve">         Series A</v>
      </c>
      <c r="B76" s="104">
        <f>'(Other Variables)'!B122</f>
        <v>0</v>
      </c>
      <c r="C76" s="104">
        <f>'(Other Variables)'!C122</f>
        <v>0</v>
      </c>
      <c r="D76" s="104">
        <f>'(Other Variables)'!D122</f>
        <v>0</v>
      </c>
      <c r="E76" s="63">
        <f>SUM(B76:D76)</f>
        <v>0</v>
      </c>
    </row>
    <row r="77" spans="1:5" ht="12.75" hidden="1" customHeight="1" outlineLevel="1" x14ac:dyDescent="0.2">
      <c r="A77" s="89" t="str">
        <f>"         "&amp;Labels!C110</f>
        <v xml:space="preserve">         Subtotal</v>
      </c>
      <c r="B77" s="99">
        <f>SUM(B75:B76)</f>
        <v>0</v>
      </c>
      <c r="C77" s="99">
        <f>SUM(C75:C76)</f>
        <v>0</v>
      </c>
      <c r="D77" s="99">
        <f>SUM(D75:D76)</f>
        <v>0</v>
      </c>
      <c r="E77" s="63">
        <f>SUM(E75:E76)</f>
        <v>0</v>
      </c>
    </row>
    <row r="78" spans="1:5" ht="12.75" hidden="1" customHeight="1" outlineLevel="1" x14ac:dyDescent="0.2">
      <c r="A78" s="28" t="str">
        <f>"      "&amp;Labels!C102</f>
        <v xml:space="preserve">      Total</v>
      </c>
      <c r="B78" s="97">
        <f>SUM(B68,B71:B73,B77)</f>
        <v>1</v>
      </c>
      <c r="C78" s="97">
        <f>SUM(C68,C71:C73,C77)</f>
        <v>0</v>
      </c>
      <c r="D78" s="97">
        <f>SUM(D68,D71:D73,D77)</f>
        <v>0</v>
      </c>
      <c r="E78" s="63">
        <f>SUM(E68,E71:E73,E77)</f>
        <v>1</v>
      </c>
    </row>
    <row r="79" spans="1:5" ht="12.75" hidden="1" customHeight="1" outlineLevel="1" x14ac:dyDescent="0.2">
      <c r="A79" s="28" t="str">
        <f>"   "&amp;Labels!B93</f>
        <v xml:space="preserve">   Post Sales</v>
      </c>
      <c r="B79" s="97"/>
      <c r="C79" s="97"/>
      <c r="D79" s="97"/>
      <c r="E79" s="63"/>
    </row>
    <row r="80" spans="1:5" ht="12.75" hidden="1" customHeight="1" outlineLevel="1" x14ac:dyDescent="0.2">
      <c r="A80" s="89" t="str">
        <f>"      "&amp;Labels!B103</f>
        <v xml:space="preserve">      Conv Note</v>
      </c>
      <c r="B80" s="99"/>
      <c r="C80" s="99"/>
      <c r="D80" s="99"/>
      <c r="E80" s="63"/>
    </row>
    <row r="81" spans="1:5" ht="12.75" hidden="1" customHeight="1" outlineLevel="1" x14ac:dyDescent="0.2">
      <c r="A81" s="89" t="str">
        <f>"         "&amp;Labels!B104</f>
        <v xml:space="preserve">         Series B</v>
      </c>
      <c r="B81" s="104">
        <f t="shared" ref="B81:D82" si="3">B51+B66</f>
        <v>0</v>
      </c>
      <c r="C81" s="104">
        <f t="shared" si="3"/>
        <v>0</v>
      </c>
      <c r="D81" s="104">
        <f t="shared" si="3"/>
        <v>0</v>
      </c>
      <c r="E81" s="63">
        <f>SUM(B81:D81)</f>
        <v>0</v>
      </c>
    </row>
    <row r="82" spans="1:5" ht="12.75" hidden="1" customHeight="1" outlineLevel="1" x14ac:dyDescent="0.2">
      <c r="A82" s="89" t="str">
        <f>"         "&amp;Labels!B105</f>
        <v xml:space="preserve">         Series A</v>
      </c>
      <c r="B82" s="104">
        <f t="shared" si="3"/>
        <v>0</v>
      </c>
      <c r="C82" s="104">
        <f t="shared" si="3"/>
        <v>0</v>
      </c>
      <c r="D82" s="104">
        <f t="shared" si="3"/>
        <v>0</v>
      </c>
      <c r="E82" s="63">
        <f>SUM(B82:D82)</f>
        <v>0</v>
      </c>
    </row>
    <row r="83" spans="1:5" ht="12.75" hidden="1" customHeight="1" outlineLevel="1" x14ac:dyDescent="0.2">
      <c r="A83" s="89" t="str">
        <f>"         "&amp;Labels!C103</f>
        <v xml:space="preserve">         Subtotal</v>
      </c>
      <c r="B83" s="99">
        <f>SUM(B81:B82)</f>
        <v>0</v>
      </c>
      <c r="C83" s="99">
        <f>SUM(C81:C82)</f>
        <v>0</v>
      </c>
      <c r="D83" s="99">
        <f>SUM(D81:D82)</f>
        <v>0</v>
      </c>
      <c r="E83" s="63">
        <f>SUM(E81:E82)</f>
        <v>0</v>
      </c>
    </row>
    <row r="84" spans="1:5" ht="12.75" hidden="1" customHeight="1" outlineLevel="1" x14ac:dyDescent="0.2">
      <c r="A84" s="89" t="str">
        <f>"      "&amp;Labels!B106</f>
        <v xml:space="preserve">      Preferred</v>
      </c>
      <c r="B84" s="99"/>
      <c r="C84" s="99"/>
      <c r="D84" s="99"/>
      <c r="E84" s="63"/>
    </row>
    <row r="85" spans="1:5" ht="12.75" hidden="1" customHeight="1" outlineLevel="1" x14ac:dyDescent="0.2">
      <c r="A85" s="89" t="str">
        <f>"         "&amp;Labels!B107</f>
        <v xml:space="preserve">         Series A</v>
      </c>
      <c r="B85" s="104">
        <f>B55+B70</f>
        <v>0</v>
      </c>
      <c r="C85" s="104">
        <f>C55+C70</f>
        <v>0</v>
      </c>
      <c r="D85" s="104">
        <f>D55+D70</f>
        <v>0</v>
      </c>
      <c r="E85" s="63">
        <f>SUM(B85:D85)</f>
        <v>0</v>
      </c>
    </row>
    <row r="86" spans="1:5" ht="12.75" hidden="1" customHeight="1" outlineLevel="1" x14ac:dyDescent="0.2">
      <c r="A86" s="89" t="str">
        <f>"         "&amp;Labels!C106</f>
        <v xml:space="preserve">         Subtotal</v>
      </c>
      <c r="B86" s="99">
        <f>B85</f>
        <v>0</v>
      </c>
      <c r="C86" s="99">
        <f>C85</f>
        <v>0</v>
      </c>
      <c r="D86" s="99">
        <f>D85</f>
        <v>0</v>
      </c>
      <c r="E86" s="63">
        <f>E85</f>
        <v>0</v>
      </c>
    </row>
    <row r="87" spans="1:5" ht="12.75" hidden="1" customHeight="1" outlineLevel="1" x14ac:dyDescent="0.2">
      <c r="A87" s="89" t="str">
        <f>"      "&amp;Labels!B108</f>
        <v xml:space="preserve">      Common</v>
      </c>
      <c r="B87" s="99">
        <f t="shared" ref="B87:D88" si="4">B57+B72</f>
        <v>1</v>
      </c>
      <c r="C87" s="99">
        <f t="shared" si="4"/>
        <v>1</v>
      </c>
      <c r="D87" s="99">
        <f t="shared" si="4"/>
        <v>1</v>
      </c>
      <c r="E87" s="63">
        <f>SUM(B87:D87)</f>
        <v>3</v>
      </c>
    </row>
    <row r="88" spans="1:5" ht="12.75" hidden="1" customHeight="1" outlineLevel="1" x14ac:dyDescent="0.2">
      <c r="A88" s="89" t="str">
        <f>"      "&amp;Labels!B109</f>
        <v xml:space="preserve">      Warrant</v>
      </c>
      <c r="B88" s="99">
        <f t="shared" si="4"/>
        <v>0</v>
      </c>
      <c r="C88" s="99">
        <f t="shared" si="4"/>
        <v>0</v>
      </c>
      <c r="D88" s="99">
        <f t="shared" si="4"/>
        <v>0</v>
      </c>
      <c r="E88" s="63">
        <f>SUM(B88:D88)</f>
        <v>0</v>
      </c>
    </row>
    <row r="89" spans="1:5" ht="12.75" hidden="1" customHeight="1" outlineLevel="1" x14ac:dyDescent="0.2">
      <c r="A89" s="89" t="str">
        <f>"      "&amp;Labels!B110</f>
        <v xml:space="preserve">      Option</v>
      </c>
      <c r="B89" s="99"/>
      <c r="C89" s="99"/>
      <c r="D89" s="99"/>
      <c r="E89" s="63"/>
    </row>
    <row r="90" spans="1:5" ht="12.75" hidden="1" customHeight="1" outlineLevel="1" x14ac:dyDescent="0.2">
      <c r="A90" s="89" t="str">
        <f>"         "&amp;Labels!B111</f>
        <v xml:space="preserve">         Series B</v>
      </c>
      <c r="B90" s="104">
        <f t="shared" ref="B90:D91" si="5">B60+B75</f>
        <v>0</v>
      </c>
      <c r="C90" s="104">
        <f t="shared" si="5"/>
        <v>0</v>
      </c>
      <c r="D90" s="104">
        <f t="shared" si="5"/>
        <v>0</v>
      </c>
      <c r="E90" s="63">
        <f>SUM(B90:D90)</f>
        <v>0</v>
      </c>
    </row>
    <row r="91" spans="1:5" ht="12.75" hidden="1" customHeight="1" outlineLevel="1" x14ac:dyDescent="0.2">
      <c r="A91" s="89" t="str">
        <f>"         "&amp;Labels!B112</f>
        <v xml:space="preserve">         Series A</v>
      </c>
      <c r="B91" s="104">
        <f t="shared" si="5"/>
        <v>0</v>
      </c>
      <c r="C91" s="104">
        <f t="shared" si="5"/>
        <v>0</v>
      </c>
      <c r="D91" s="104">
        <f t="shared" si="5"/>
        <v>0</v>
      </c>
      <c r="E91" s="63">
        <f>SUM(B91:D91)</f>
        <v>0</v>
      </c>
    </row>
    <row r="92" spans="1:5" ht="12.75" hidden="1" customHeight="1" outlineLevel="1" x14ac:dyDescent="0.2">
      <c r="A92" s="89" t="str">
        <f>"         "&amp;Labels!C110</f>
        <v xml:space="preserve">         Subtotal</v>
      </c>
      <c r="B92" s="99">
        <f>SUM(B90:B91)</f>
        <v>0</v>
      </c>
      <c r="C92" s="99">
        <f>SUM(C90:C91)</f>
        <v>0</v>
      </c>
      <c r="D92" s="99">
        <f>SUM(D90:D91)</f>
        <v>0</v>
      </c>
      <c r="E92" s="63">
        <f>SUM(E90:E91)</f>
        <v>0</v>
      </c>
    </row>
    <row r="93" spans="1:5" ht="12.75" hidden="1" customHeight="1" outlineLevel="1" x14ac:dyDescent="0.2">
      <c r="A93" s="28" t="str">
        <f>"      "&amp;Labels!C102</f>
        <v xml:space="preserve">      Total</v>
      </c>
      <c r="B93" s="97">
        <f>SUM(B83,B86:B88,B92)</f>
        <v>1</v>
      </c>
      <c r="C93" s="97">
        <f>SUM(C83,C86:C88,C92)</f>
        <v>1</v>
      </c>
      <c r="D93" s="97">
        <f>SUM(D83,D86:D88,D92)</f>
        <v>1</v>
      </c>
      <c r="E93" s="63">
        <f>SUM(E83,E86:E88,E92)</f>
        <v>3</v>
      </c>
    </row>
    <row r="94" spans="1:5" ht="12.75" hidden="1" customHeight="1" outlineLevel="1" x14ac:dyDescent="0.2">
      <c r="A94" s="28" t="str">
        <f>"   "&amp;Labels!B94</f>
        <v xml:space="preserve">   Convert</v>
      </c>
      <c r="B94" s="97"/>
      <c r="C94" s="97"/>
      <c r="D94" s="97"/>
      <c r="E94" s="63"/>
    </row>
    <row r="95" spans="1:5" ht="12.75" hidden="1" customHeight="1" outlineLevel="1" x14ac:dyDescent="0.2">
      <c r="A95" s="89" t="str">
        <f>"      "&amp;Labels!B103</f>
        <v xml:space="preserve">      Conv Note</v>
      </c>
      <c r="B95" s="99"/>
      <c r="C95" s="99"/>
      <c r="D95" s="99"/>
      <c r="E95" s="63"/>
    </row>
    <row r="96" spans="1:5" ht="12.75" hidden="1" customHeight="1" outlineLevel="1" x14ac:dyDescent="0.2">
      <c r="A96" s="89" t="str">
        <f>"         "&amp;Labels!B104</f>
        <v xml:space="preserve">         Series B</v>
      </c>
      <c r="B96" s="104">
        <f>Conversion!B28*Investment!B244/'(Other Variables)'!B181/(1-Inputs!B23)</f>
        <v>0</v>
      </c>
      <c r="C96" s="104">
        <f>Conversion!C28*Investment!C244/'(Other Variables)'!C181/(1-Inputs!B23)</f>
        <v>0</v>
      </c>
      <c r="D96" s="104">
        <f>Conversion!D28*Investment!D244/'(Other Variables)'!D181/(1-Inputs!B23)</f>
        <v>0</v>
      </c>
      <c r="E96" s="63">
        <f>SUM(B96:D96)</f>
        <v>0</v>
      </c>
    </row>
    <row r="97" spans="1:5" ht="12.75" hidden="1" customHeight="1" outlineLevel="1" x14ac:dyDescent="0.2">
      <c r="A97" s="89" t="str">
        <f>"         "&amp;Labels!B105</f>
        <v xml:space="preserve">         Series A</v>
      </c>
      <c r="B97" s="104">
        <f>Conversion!B29*Investment!B245/'(Other Variables)'!B181/(1-Inputs!B24)</f>
        <v>0</v>
      </c>
      <c r="C97" s="104">
        <f>Conversion!C29*Investment!C245/'(Other Variables)'!C181/(1-Inputs!B24)</f>
        <v>0</v>
      </c>
      <c r="D97" s="104">
        <f>Conversion!D29*Investment!D245/'(Other Variables)'!D181/(1-Inputs!B24)</f>
        <v>0</v>
      </c>
      <c r="E97" s="63">
        <f>SUM(B97:D97)</f>
        <v>0</v>
      </c>
    </row>
    <row r="98" spans="1:5" ht="12.75" hidden="1" customHeight="1" outlineLevel="1" x14ac:dyDescent="0.2">
      <c r="A98" s="89" t="str">
        <f>"         "&amp;Labels!C103</f>
        <v xml:space="preserve">         Subtotal</v>
      </c>
      <c r="B98" s="99">
        <f>SUM(B96:B97)</f>
        <v>0</v>
      </c>
      <c r="C98" s="99">
        <f>SUM(C96:C97)</f>
        <v>0</v>
      </c>
      <c r="D98" s="99">
        <f>SUM(D96:D97)</f>
        <v>0</v>
      </c>
      <c r="E98" s="63">
        <f>SUM(E96:E97)</f>
        <v>0</v>
      </c>
    </row>
    <row r="99" spans="1:5" ht="12.75" hidden="1" customHeight="1" outlineLevel="1" x14ac:dyDescent="0.2">
      <c r="A99" s="89" t="str">
        <f>"      "&amp;Labels!B106</f>
        <v xml:space="preserve">      Preferred</v>
      </c>
      <c r="B99" s="99"/>
      <c r="C99" s="99"/>
      <c r="D99" s="99"/>
      <c r="E99" s="63"/>
    </row>
    <row r="100" spans="1:5" ht="12.75" hidden="1" customHeight="1" outlineLevel="1" x14ac:dyDescent="0.2">
      <c r="A100" s="89" t="str">
        <f>"         "&amp;Labels!B107</f>
        <v xml:space="preserve">         Series A</v>
      </c>
      <c r="B100" s="104">
        <f>Conversion!B31*B85</f>
        <v>0</v>
      </c>
      <c r="C100" s="104">
        <f>Conversion!C31*C85</f>
        <v>0</v>
      </c>
      <c r="D100" s="104">
        <f>Conversion!D31*D85</f>
        <v>0</v>
      </c>
      <c r="E100" s="63">
        <f>SUM(B100:D100)</f>
        <v>0</v>
      </c>
    </row>
    <row r="101" spans="1:5" ht="12.75" hidden="1" customHeight="1" outlineLevel="1" x14ac:dyDescent="0.2">
      <c r="A101" s="89" t="str">
        <f>"         "&amp;Labels!C106</f>
        <v xml:space="preserve">         Subtotal</v>
      </c>
      <c r="B101" s="99">
        <f>B100</f>
        <v>0</v>
      </c>
      <c r="C101" s="99">
        <f>C100</f>
        <v>0</v>
      </c>
      <c r="D101" s="99">
        <f>D100</f>
        <v>0</v>
      </c>
      <c r="E101" s="63">
        <f>E100</f>
        <v>0</v>
      </c>
    </row>
    <row r="102" spans="1:5" ht="12.75" hidden="1" customHeight="1" outlineLevel="1" x14ac:dyDescent="0.2">
      <c r="A102" s="89" t="str">
        <f>"      "&amp;Labels!B108</f>
        <v xml:space="preserve">      Common</v>
      </c>
      <c r="B102" s="99">
        <f>Conversion!B32*B87</f>
        <v>0</v>
      </c>
      <c r="C102" s="99">
        <f>Conversion!C32*C87</f>
        <v>0</v>
      </c>
      <c r="D102" s="99">
        <f>Conversion!D32*D87</f>
        <v>0</v>
      </c>
      <c r="E102" s="63">
        <f>SUM(B102:D102)</f>
        <v>0</v>
      </c>
    </row>
    <row r="103" spans="1:5" ht="12.75" hidden="1" customHeight="1" outlineLevel="1" x14ac:dyDescent="0.2">
      <c r="A103" s="89" t="str">
        <f>"      "&amp;Labels!B109</f>
        <v xml:space="preserve">      Warrant</v>
      </c>
      <c r="B103" s="99">
        <f>Conversion!B33*B88</f>
        <v>0</v>
      </c>
      <c r="C103" s="99">
        <f>Conversion!C33*C88</f>
        <v>0</v>
      </c>
      <c r="D103" s="99">
        <f>Conversion!D33*D88</f>
        <v>0</v>
      </c>
      <c r="E103" s="63">
        <f>SUM(B103:D103)</f>
        <v>0</v>
      </c>
    </row>
    <row r="104" spans="1:5" ht="12.75" hidden="1" customHeight="1" outlineLevel="1" x14ac:dyDescent="0.2">
      <c r="A104" s="89" t="str">
        <f>"      "&amp;Labels!B110</f>
        <v xml:space="preserve">      Option</v>
      </c>
      <c r="B104" s="99"/>
      <c r="C104" s="99"/>
      <c r="D104" s="99"/>
      <c r="E104" s="63"/>
    </row>
    <row r="105" spans="1:5" ht="12.75" hidden="1" customHeight="1" outlineLevel="1" x14ac:dyDescent="0.2">
      <c r="A105" s="89" t="str">
        <f>"         "&amp;Labels!B111</f>
        <v xml:space="preserve">         Series B</v>
      </c>
      <c r="B105" s="104">
        <f>Conversion!B35*B90</f>
        <v>0</v>
      </c>
      <c r="C105" s="104">
        <f>Conversion!C35*C90</f>
        <v>0</v>
      </c>
      <c r="D105" s="104">
        <f>Conversion!D35*D90</f>
        <v>0</v>
      </c>
      <c r="E105" s="63">
        <f>SUM(B105:D105)</f>
        <v>0</v>
      </c>
    </row>
    <row r="106" spans="1:5" ht="12.75" hidden="1" customHeight="1" outlineLevel="1" x14ac:dyDescent="0.2">
      <c r="A106" s="89" t="str">
        <f>"         "&amp;Labels!B112</f>
        <v xml:space="preserve">         Series A</v>
      </c>
      <c r="B106" s="104">
        <f>Conversion!B36*B91</f>
        <v>0</v>
      </c>
      <c r="C106" s="104">
        <f>Conversion!C36*C91</f>
        <v>0</v>
      </c>
      <c r="D106" s="104">
        <f>Conversion!D36*D91</f>
        <v>0</v>
      </c>
      <c r="E106" s="63">
        <f>SUM(B106:D106)</f>
        <v>0</v>
      </c>
    </row>
    <row r="107" spans="1:5" ht="12.75" hidden="1" customHeight="1" outlineLevel="1" x14ac:dyDescent="0.2">
      <c r="A107" s="89" t="str">
        <f>"         "&amp;Labels!C110</f>
        <v xml:space="preserve">         Subtotal</v>
      </c>
      <c r="B107" s="99">
        <f>SUM(B105:B106)</f>
        <v>0</v>
      </c>
      <c r="C107" s="99">
        <f>SUM(C105:C106)</f>
        <v>0</v>
      </c>
      <c r="D107" s="99">
        <f>SUM(D105:D106)</f>
        <v>0</v>
      </c>
      <c r="E107" s="63">
        <f>SUM(E105:E106)</f>
        <v>0</v>
      </c>
    </row>
    <row r="108" spans="1:5" ht="12.75" hidden="1" customHeight="1" outlineLevel="1" x14ac:dyDescent="0.2">
      <c r="A108" s="28" t="str">
        <f>"      "&amp;Labels!C102</f>
        <v xml:space="preserve">      Total</v>
      </c>
      <c r="B108" s="97">
        <f>SUM(B98,B101:B103,B107)</f>
        <v>0</v>
      </c>
      <c r="C108" s="97">
        <f>SUM(C98,C101:C103,C107)</f>
        <v>0</v>
      </c>
      <c r="D108" s="97">
        <f>SUM(D98,D101:D103,D107)</f>
        <v>0</v>
      </c>
      <c r="E108" s="63">
        <f>SUM(E98,E101:E103,E107)</f>
        <v>0</v>
      </c>
    </row>
    <row r="109" spans="1:5" ht="12.75" hidden="1" customHeight="1" outlineLevel="1" x14ac:dyDescent="0.2">
      <c r="A109" s="28" t="str">
        <f>"   "&amp;Labels!B95</f>
        <v xml:space="preserve">   End</v>
      </c>
      <c r="B109" s="97"/>
      <c r="C109" s="97"/>
      <c r="D109" s="97"/>
      <c r="E109" s="63"/>
    </row>
    <row r="110" spans="1:5" ht="12.75" hidden="1" customHeight="1" outlineLevel="1" x14ac:dyDescent="0.2">
      <c r="A110" s="89" t="str">
        <f>"      "&amp;Labels!B103</f>
        <v xml:space="preserve">      Conv Note</v>
      </c>
      <c r="B110" s="99"/>
      <c r="C110" s="99"/>
      <c r="D110" s="99"/>
      <c r="E110" s="63"/>
    </row>
    <row r="111" spans="1:5" ht="12.75" hidden="1" customHeight="1" outlineLevel="1" x14ac:dyDescent="0.2">
      <c r="A111" s="89" t="str">
        <f>"         "&amp;Labels!B104</f>
        <v xml:space="preserve">         Series B</v>
      </c>
      <c r="B111" s="104">
        <f t="shared" ref="B111:D112" si="6">B30</f>
        <v>0</v>
      </c>
      <c r="C111" s="104">
        <f t="shared" si="6"/>
        <v>0</v>
      </c>
      <c r="D111" s="104">
        <f t="shared" si="6"/>
        <v>0</v>
      </c>
      <c r="E111" s="63">
        <f>SUM(B111:D111)</f>
        <v>0</v>
      </c>
    </row>
    <row r="112" spans="1:5" ht="12.75" hidden="1" customHeight="1" outlineLevel="1" x14ac:dyDescent="0.2">
      <c r="A112" s="89" t="str">
        <f>"         "&amp;Labels!B105</f>
        <v xml:space="preserve">         Series A</v>
      </c>
      <c r="B112" s="104">
        <f t="shared" si="6"/>
        <v>0</v>
      </c>
      <c r="C112" s="104">
        <f t="shared" si="6"/>
        <v>0</v>
      </c>
      <c r="D112" s="104">
        <f t="shared" si="6"/>
        <v>0</v>
      </c>
      <c r="E112" s="63">
        <f>SUM(B112:D112)</f>
        <v>0</v>
      </c>
    </row>
    <row r="113" spans="1:5" ht="12.75" hidden="1" customHeight="1" outlineLevel="1" x14ac:dyDescent="0.2">
      <c r="A113" s="89" t="str">
        <f>"         "&amp;Labels!C103</f>
        <v xml:space="preserve">         Subtotal</v>
      </c>
      <c r="B113" s="99">
        <f>SUM(B111:B112)</f>
        <v>0</v>
      </c>
      <c r="C113" s="99">
        <f>SUM(C111:C112)</f>
        <v>0</v>
      </c>
      <c r="D113" s="99">
        <f>SUM(D111:D112)</f>
        <v>0</v>
      </c>
      <c r="E113" s="63">
        <f>SUM(E111:E112)</f>
        <v>0</v>
      </c>
    </row>
    <row r="114" spans="1:5" ht="12.75" hidden="1" customHeight="1" outlineLevel="1" x14ac:dyDescent="0.2">
      <c r="A114" s="89" t="str">
        <f>"      "&amp;Labels!B106</f>
        <v xml:space="preserve">      Preferred</v>
      </c>
      <c r="B114" s="99"/>
      <c r="C114" s="99"/>
      <c r="D114" s="99"/>
      <c r="E114" s="63"/>
    </row>
    <row r="115" spans="1:5" ht="12.75" hidden="1" customHeight="1" outlineLevel="1" x14ac:dyDescent="0.2">
      <c r="A115" s="89" t="str">
        <f>"         "&amp;Labels!B107</f>
        <v xml:space="preserve">         Series A</v>
      </c>
      <c r="B115" s="104">
        <f>B34</f>
        <v>0</v>
      </c>
      <c r="C115" s="104">
        <f>C34</f>
        <v>0</v>
      </c>
      <c r="D115" s="104">
        <f>D34</f>
        <v>0</v>
      </c>
      <c r="E115" s="63">
        <f>SUM(B115:D115)</f>
        <v>0</v>
      </c>
    </row>
    <row r="116" spans="1:5" ht="12.75" hidden="1" customHeight="1" outlineLevel="1" x14ac:dyDescent="0.2">
      <c r="A116" s="89" t="str">
        <f>"         "&amp;Labels!C106</f>
        <v xml:space="preserve">         Subtotal</v>
      </c>
      <c r="B116" s="99">
        <f>B34</f>
        <v>0</v>
      </c>
      <c r="C116" s="99">
        <f>C34</f>
        <v>0</v>
      </c>
      <c r="D116" s="99">
        <f>D34</f>
        <v>0</v>
      </c>
      <c r="E116" s="63">
        <f>E34</f>
        <v>0</v>
      </c>
    </row>
    <row r="117" spans="1:5" ht="12.75" hidden="1" customHeight="1" outlineLevel="1" x14ac:dyDescent="0.2">
      <c r="A117" s="89" t="str">
        <f>"      "&amp;Labels!B108</f>
        <v xml:space="preserve">      Common</v>
      </c>
      <c r="B117" s="99">
        <f t="shared" ref="B117:D118" si="7">B36</f>
        <v>1</v>
      </c>
      <c r="C117" s="99">
        <f t="shared" si="7"/>
        <v>1</v>
      </c>
      <c r="D117" s="99">
        <f t="shared" si="7"/>
        <v>1</v>
      </c>
      <c r="E117" s="63">
        <f>SUM(B117:D117)</f>
        <v>3</v>
      </c>
    </row>
    <row r="118" spans="1:5" ht="12.75" hidden="1" customHeight="1" outlineLevel="1" x14ac:dyDescent="0.2">
      <c r="A118" s="89" t="str">
        <f>"      "&amp;Labels!B109</f>
        <v xml:space="preserve">      Warrant</v>
      </c>
      <c r="B118" s="99">
        <f t="shared" si="7"/>
        <v>0</v>
      </c>
      <c r="C118" s="99">
        <f t="shared" si="7"/>
        <v>0</v>
      </c>
      <c r="D118" s="99">
        <f t="shared" si="7"/>
        <v>0</v>
      </c>
      <c r="E118" s="63">
        <f>SUM(B118:D118)</f>
        <v>0</v>
      </c>
    </row>
    <row r="119" spans="1:5" ht="12.75" hidden="1" customHeight="1" outlineLevel="1" x14ac:dyDescent="0.2">
      <c r="A119" s="89" t="str">
        <f>"      "&amp;Labels!B110</f>
        <v xml:space="preserve">      Option</v>
      </c>
      <c r="B119" s="99"/>
      <c r="C119" s="99"/>
      <c r="D119" s="99"/>
      <c r="E119" s="63"/>
    </row>
    <row r="120" spans="1:5" ht="12.75" hidden="1" customHeight="1" outlineLevel="1" x14ac:dyDescent="0.2">
      <c r="A120" s="89" t="str">
        <f>"         "&amp;Labels!B111</f>
        <v xml:space="preserve">         Series B</v>
      </c>
      <c r="B120" s="104">
        <f t="shared" ref="B120:D121" si="8">B39</f>
        <v>0</v>
      </c>
      <c r="C120" s="104">
        <f t="shared" si="8"/>
        <v>0</v>
      </c>
      <c r="D120" s="104">
        <f t="shared" si="8"/>
        <v>0</v>
      </c>
      <c r="E120" s="63">
        <f>SUM(B120:D120)</f>
        <v>0</v>
      </c>
    </row>
    <row r="121" spans="1:5" ht="12.75" hidden="1" customHeight="1" outlineLevel="1" x14ac:dyDescent="0.2">
      <c r="A121" s="89" t="str">
        <f>"         "&amp;Labels!B112</f>
        <v xml:space="preserve">         Series A</v>
      </c>
      <c r="B121" s="104">
        <f t="shared" si="8"/>
        <v>0</v>
      </c>
      <c r="C121" s="104">
        <f t="shared" si="8"/>
        <v>0</v>
      </c>
      <c r="D121" s="104">
        <f t="shared" si="8"/>
        <v>0</v>
      </c>
      <c r="E121" s="63">
        <f>SUM(B121:D121)</f>
        <v>0</v>
      </c>
    </row>
    <row r="122" spans="1:5" ht="12.75" hidden="1" customHeight="1" outlineLevel="1" x14ac:dyDescent="0.2">
      <c r="A122" s="89" t="str">
        <f>"         "&amp;Labels!C110</f>
        <v xml:space="preserve">         Subtotal</v>
      </c>
      <c r="B122" s="99">
        <f>SUM(B120:B121)</f>
        <v>0</v>
      </c>
      <c r="C122" s="99">
        <f>SUM(C120:C121)</f>
        <v>0</v>
      </c>
      <c r="D122" s="99">
        <f>SUM(D120:D121)</f>
        <v>0</v>
      </c>
      <c r="E122" s="63">
        <f>SUM(E120:E121)</f>
        <v>0</v>
      </c>
    </row>
    <row r="123" spans="1:5" ht="12.75" hidden="1" customHeight="1" outlineLevel="1" x14ac:dyDescent="0.2">
      <c r="A123" s="35" t="str">
        <f>"      "&amp;Labels!C102</f>
        <v xml:space="preserve">      Total</v>
      </c>
      <c r="B123" s="105">
        <f>SUM(B113,B116:B118,B122)</f>
        <v>1</v>
      </c>
      <c r="C123" s="105">
        <f>SUM(C113,C116:C118,C122)</f>
        <v>1</v>
      </c>
      <c r="D123" s="105">
        <f>SUM(D113,D116:D118,D122)</f>
        <v>1</v>
      </c>
      <c r="E123" s="65">
        <f>SUM(E113,E116:E118,E122)</f>
        <v>3</v>
      </c>
    </row>
    <row r="124" spans="1:5" ht="12.75" hidden="1" customHeight="1" outlineLevel="1" x14ac:dyDescent="0.2"/>
    <row r="125" spans="1:5" ht="12.75" hidden="1" customHeight="1" outlineLevel="1" collapsed="1" x14ac:dyDescent="0.2"/>
    <row r="126" spans="1:5" ht="12.75" customHeight="1" collapsed="1" x14ac:dyDescent="0.2"/>
  </sheetData>
  <mergeCells count="8">
    <mergeCell ref="A25:D25"/>
    <mergeCell ref="A45:C45"/>
    <mergeCell ref="A1:D1"/>
    <mergeCell ref="A2:D2"/>
    <mergeCell ref="A3:D3"/>
    <mergeCell ref="A4:D4"/>
    <mergeCell ref="A5:D5"/>
    <mergeCell ref="A9:C9"/>
  </mergeCells>
  <pageMargins left="0.25" right="0.25" top="0.5" bottom="0.5" header="0.5" footer="0.5"/>
  <pageSetup paperSize="9" fitToHeight="32767"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G117"/>
  <sheetViews>
    <sheetView zoomScaleNormal="100" workbookViewId="0"/>
  </sheetViews>
  <sheetFormatPr defaultRowHeight="12.75" customHeight="1" outlineLevelRow="2" x14ac:dyDescent="0.2"/>
  <cols>
    <col min="1" max="1" width="27" customWidth="1"/>
    <col min="2" max="4" width="9.5703125" customWidth="1"/>
    <col min="5" max="5" width="9.42578125" customWidth="1"/>
    <col min="6" max="7" width="10"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IF("Conversion"="(Default Input)","Ignore this sheet in normal use.","Investment Scenario "&amp;1&amp;", Valuation Scenario "&amp;1)</f>
        <v>Investment Scenario 1, Valuation Scenario 1</v>
      </c>
      <c r="B3" s="261"/>
      <c r="C3" s="261"/>
      <c r="D3" s="261"/>
    </row>
    <row r="4" spans="1:5" ht="12.75" customHeight="1" x14ac:dyDescent="0.2">
      <c r="A4" s="261" t="str">
        <f>"Conversion to Common Shares"</f>
        <v>Conversion to Common Shares</v>
      </c>
      <c r="B4" s="261"/>
      <c r="C4" s="261"/>
      <c r="D4" s="261"/>
    </row>
    <row r="5" spans="1:5" ht="12.75" customHeight="1" x14ac:dyDescent="0.2">
      <c r="A5" s="261" t="str">
        <f>""</f>
        <v/>
      </c>
      <c r="B5" s="261"/>
      <c r="C5" s="261"/>
      <c r="D5" s="261"/>
    </row>
    <row r="6" spans="1:5" ht="12.75" customHeight="1" x14ac:dyDescent="0.2">
      <c r="B6" s="6" t="str">
        <f>Labels!B98</f>
        <v>Seed</v>
      </c>
      <c r="C6" s="7" t="str">
        <f>Labels!B99</f>
        <v>Round A</v>
      </c>
      <c r="D6" s="8" t="str">
        <f>Labels!B100</f>
        <v>Exit</v>
      </c>
    </row>
    <row r="7" spans="1:5" ht="12.75" customHeight="1" x14ac:dyDescent="0.2">
      <c r="A7" s="4" t="str">
        <f>Labels!B20</f>
        <v>Event Date</v>
      </c>
      <c r="B7" s="94">
        <f>Investment!B209</f>
        <v>40391</v>
      </c>
      <c r="C7" s="94">
        <f>Investment!C209</f>
        <v>40725</v>
      </c>
      <c r="D7" s="95">
        <f>Investment!D209</f>
        <v>41061</v>
      </c>
    </row>
    <row r="9" spans="1:5" ht="12.75" customHeight="1" x14ac:dyDescent="0.2">
      <c r="A9" s="262" t="str">
        <f>"Units Converted to Common Stock"</f>
        <v>Units Converted to Common Stock</v>
      </c>
      <c r="B9" s="262"/>
      <c r="C9" s="262"/>
      <c r="D9" s="262"/>
      <c r="E9" s="262"/>
    </row>
    <row r="10" spans="1:5" ht="12.75" customHeight="1" x14ac:dyDescent="0.2">
      <c r="A10" s="11" t="str">
        <f>Labels!B78</f>
        <v>Net Units</v>
      </c>
      <c r="B10" s="60"/>
      <c r="C10" s="60"/>
      <c r="D10" s="60"/>
      <c r="E10" s="61"/>
    </row>
    <row r="11" spans="1:5" ht="12.75" customHeight="1" x14ac:dyDescent="0.2">
      <c r="A11" s="28" t="str">
        <f>"   "&amp;Labels!B103</f>
        <v xml:space="preserve">   Conv Note</v>
      </c>
      <c r="B11" s="97"/>
      <c r="C11" s="97"/>
      <c r="D11" s="97"/>
      <c r="E11" s="63"/>
    </row>
    <row r="12" spans="1:5" ht="12.75" customHeight="1" x14ac:dyDescent="0.2">
      <c r="A12" s="89" t="str">
        <f>"      "&amp;Labels!B104</f>
        <v xml:space="preserve">      Series B</v>
      </c>
      <c r="B12" s="99">
        <f>Shares!B96</f>
        <v>0</v>
      </c>
      <c r="C12" s="99">
        <f>Shares!C96</f>
        <v>0</v>
      </c>
      <c r="D12" s="99">
        <f>Shares!D96</f>
        <v>0</v>
      </c>
      <c r="E12" s="63">
        <f>SUM(B12:D12)</f>
        <v>0</v>
      </c>
    </row>
    <row r="13" spans="1:5" ht="12.75" customHeight="1" x14ac:dyDescent="0.2">
      <c r="A13" s="89" t="str">
        <f>"      "&amp;Labels!B105</f>
        <v xml:space="preserve">      Series A</v>
      </c>
      <c r="B13" s="99">
        <f>Shares!B97</f>
        <v>0</v>
      </c>
      <c r="C13" s="99">
        <f>Shares!C97</f>
        <v>0</v>
      </c>
      <c r="D13" s="99">
        <f>Shares!D97</f>
        <v>0</v>
      </c>
      <c r="E13" s="63">
        <f>SUM(B13:D13)</f>
        <v>0</v>
      </c>
    </row>
    <row r="14" spans="1:5" ht="12.75" customHeight="1" x14ac:dyDescent="0.2">
      <c r="A14" s="28" t="str">
        <f>"      "&amp;Labels!C103</f>
        <v xml:space="preserve">      Subtotal</v>
      </c>
      <c r="B14" s="97">
        <f>SUM(B12:B13)</f>
        <v>0</v>
      </c>
      <c r="C14" s="97">
        <f>SUM(C12:C13)</f>
        <v>0</v>
      </c>
      <c r="D14" s="97">
        <f>SUM(D12:D13)</f>
        <v>0</v>
      </c>
      <c r="E14" s="63">
        <f>SUM(E12:E13)</f>
        <v>0</v>
      </c>
    </row>
    <row r="15" spans="1:5" ht="12.75" customHeight="1" x14ac:dyDescent="0.2">
      <c r="A15" s="28" t="str">
        <f>"   "&amp;Labels!B106</f>
        <v xml:space="preserve">   Preferred</v>
      </c>
      <c r="B15" s="97"/>
      <c r="C15" s="97"/>
      <c r="D15" s="97"/>
      <c r="E15" s="63"/>
    </row>
    <row r="16" spans="1:5" ht="12.75" customHeight="1" x14ac:dyDescent="0.2">
      <c r="A16" s="89" t="str">
        <f>"      "&amp;Labels!B107</f>
        <v xml:space="preserve">      Series A</v>
      </c>
      <c r="B16" s="99">
        <f>Shares!B100</f>
        <v>0</v>
      </c>
      <c r="C16" s="99">
        <f>Shares!C100</f>
        <v>0</v>
      </c>
      <c r="D16" s="99">
        <f>Shares!D100</f>
        <v>0</v>
      </c>
      <c r="E16" s="63">
        <f>SUM(B16:D16)</f>
        <v>0</v>
      </c>
    </row>
    <row r="17" spans="1:5" ht="12.75" customHeight="1" x14ac:dyDescent="0.2">
      <c r="A17" s="28" t="str">
        <f>"      "&amp;Labels!C106</f>
        <v xml:space="preserve">      Subtotal</v>
      </c>
      <c r="B17" s="97">
        <f>Shares!B100</f>
        <v>0</v>
      </c>
      <c r="C17" s="97">
        <f>Shares!C100</f>
        <v>0</v>
      </c>
      <c r="D17" s="97">
        <f>Shares!D100</f>
        <v>0</v>
      </c>
      <c r="E17" s="63">
        <f>Shares!E100</f>
        <v>0</v>
      </c>
    </row>
    <row r="18" spans="1:5" ht="12.75" customHeight="1" x14ac:dyDescent="0.2">
      <c r="A18" s="28" t="str">
        <f>"   "&amp;Labels!B108</f>
        <v xml:space="preserve">   Common</v>
      </c>
      <c r="B18" s="97">
        <f>Shares!B102</f>
        <v>0</v>
      </c>
      <c r="C18" s="97">
        <f>Shares!C102</f>
        <v>0</v>
      </c>
      <c r="D18" s="97">
        <f>Shares!D102</f>
        <v>0</v>
      </c>
      <c r="E18" s="63">
        <f>SUM(B18:D18)</f>
        <v>0</v>
      </c>
    </row>
    <row r="19" spans="1:5" ht="12.75" customHeight="1" x14ac:dyDescent="0.2">
      <c r="A19" s="28" t="str">
        <f>"   "&amp;Labels!B109</f>
        <v xml:space="preserve">   Warrant</v>
      </c>
      <c r="B19" s="97">
        <f>Shares!B103</f>
        <v>0</v>
      </c>
      <c r="C19" s="97">
        <f>Shares!C103</f>
        <v>0</v>
      </c>
      <c r="D19" s="97">
        <f>Shares!D103</f>
        <v>0</v>
      </c>
      <c r="E19" s="63">
        <f>SUM(B19:D19)</f>
        <v>0</v>
      </c>
    </row>
    <row r="20" spans="1:5" ht="12.75" customHeight="1" x14ac:dyDescent="0.2">
      <c r="A20" s="28" t="str">
        <f>"   "&amp;Labels!B110</f>
        <v xml:space="preserve">   Option</v>
      </c>
      <c r="B20" s="97"/>
      <c r="C20" s="97"/>
      <c r="D20" s="97"/>
      <c r="E20" s="63"/>
    </row>
    <row r="21" spans="1:5" ht="12.75" customHeight="1" x14ac:dyDescent="0.2">
      <c r="A21" s="89" t="str">
        <f>"      "&amp;Labels!B111</f>
        <v xml:space="preserve">      Series B</v>
      </c>
      <c r="B21" s="99">
        <f>Shares!B105</f>
        <v>0</v>
      </c>
      <c r="C21" s="99">
        <f>Shares!C105</f>
        <v>0</v>
      </c>
      <c r="D21" s="99">
        <f>Shares!D105</f>
        <v>0</v>
      </c>
      <c r="E21" s="63">
        <f>SUM(B21:D21)</f>
        <v>0</v>
      </c>
    </row>
    <row r="22" spans="1:5" ht="12.75" customHeight="1" x14ac:dyDescent="0.2">
      <c r="A22" s="89" t="str">
        <f>"      "&amp;Labels!B112</f>
        <v xml:space="preserve">      Series A</v>
      </c>
      <c r="B22" s="99">
        <f>Shares!B106</f>
        <v>0</v>
      </c>
      <c r="C22" s="99">
        <f>Shares!C106</f>
        <v>0</v>
      </c>
      <c r="D22" s="99">
        <f>Shares!D106</f>
        <v>0</v>
      </c>
      <c r="E22" s="63">
        <f>SUM(B22:D22)</f>
        <v>0</v>
      </c>
    </row>
    <row r="23" spans="1:5" ht="12.75" customHeight="1" x14ac:dyDescent="0.2">
      <c r="A23" s="28" t="str">
        <f>"      "&amp;Labels!C110</f>
        <v xml:space="preserve">      Subtotal</v>
      </c>
      <c r="B23" s="97">
        <f>SUM(B21:B22)</f>
        <v>0</v>
      </c>
      <c r="C23" s="97">
        <f>SUM(C21:C22)</f>
        <v>0</v>
      </c>
      <c r="D23" s="97">
        <f>SUM(D21:D22)</f>
        <v>0</v>
      </c>
      <c r="E23" s="63">
        <f>SUM(E21:E22)</f>
        <v>0</v>
      </c>
    </row>
    <row r="24" spans="1:5" ht="12.75" customHeight="1" x14ac:dyDescent="0.2">
      <c r="A24" s="15" t="str">
        <f>"   "&amp;Labels!C102</f>
        <v xml:space="preserve">   Total</v>
      </c>
      <c r="B24" s="64">
        <f>SUM(B14,B17:B19,B23)</f>
        <v>0</v>
      </c>
      <c r="C24" s="64">
        <f>SUM(C14,C17:C19,C23)</f>
        <v>0</v>
      </c>
      <c r="D24" s="64">
        <f>SUM(D14,D17:D19,D23)</f>
        <v>0</v>
      </c>
      <c r="E24" s="65">
        <f>SUM(E14,E17:E19,E23)</f>
        <v>0</v>
      </c>
    </row>
    <row r="26" spans="1:5" ht="12.75" customHeight="1" x14ac:dyDescent="0.2">
      <c r="A26" s="11" t="str">
        <f>Labels!B12</f>
        <v>% Converting</v>
      </c>
      <c r="B26" s="68"/>
      <c r="C26" s="68"/>
      <c r="D26" s="106"/>
    </row>
    <row r="27" spans="1:5" ht="12.75" customHeight="1" x14ac:dyDescent="0.2">
      <c r="A27" s="28" t="str">
        <f>"   "&amp;Labels!B103</f>
        <v xml:space="preserve">   Conv Note</v>
      </c>
      <c r="B27" s="71"/>
      <c r="C27" s="71"/>
      <c r="D27" s="107"/>
    </row>
    <row r="28" spans="1:5" ht="12.75" customHeight="1" x14ac:dyDescent="0.2">
      <c r="A28" s="89" t="str">
        <f>"      "&amp;Labels!B104</f>
        <v xml:space="preserve">      Series B</v>
      </c>
      <c r="B28" s="108">
        <f t="shared" ref="B28:D29" si="0">B44</f>
        <v>0</v>
      </c>
      <c r="C28" s="108">
        <f t="shared" si="0"/>
        <v>0</v>
      </c>
      <c r="D28" s="109">
        <f t="shared" si="0"/>
        <v>0</v>
      </c>
    </row>
    <row r="29" spans="1:5" ht="12.75" customHeight="1" x14ac:dyDescent="0.2">
      <c r="A29" s="89" t="str">
        <f>"      "&amp;Labels!B105</f>
        <v xml:space="preserve">      Series A</v>
      </c>
      <c r="B29" s="108">
        <f t="shared" si="0"/>
        <v>0</v>
      </c>
      <c r="C29" s="108">
        <f t="shared" si="0"/>
        <v>0</v>
      </c>
      <c r="D29" s="109">
        <f t="shared" si="0"/>
        <v>0</v>
      </c>
    </row>
    <row r="30" spans="1:5" ht="12.75" customHeight="1" x14ac:dyDescent="0.2">
      <c r="A30" s="28" t="str">
        <f>"   "&amp;Labels!B106</f>
        <v xml:space="preserve">   Preferred</v>
      </c>
      <c r="B30" s="71"/>
      <c r="C30" s="71"/>
      <c r="D30" s="107"/>
    </row>
    <row r="31" spans="1:5" ht="12.75" customHeight="1" x14ac:dyDescent="0.2">
      <c r="A31" s="89" t="str">
        <f>"      "&amp;Labels!B107</f>
        <v xml:space="preserve">      Series A</v>
      </c>
      <c r="B31" s="108">
        <f t="shared" ref="B31:D33" si="1">B47</f>
        <v>0</v>
      </c>
      <c r="C31" s="108">
        <f t="shared" si="1"/>
        <v>0</v>
      </c>
      <c r="D31" s="109">
        <f t="shared" si="1"/>
        <v>0</v>
      </c>
    </row>
    <row r="32" spans="1:5" ht="12.75" customHeight="1" x14ac:dyDescent="0.2">
      <c r="A32" s="28" t="str">
        <f>"   "&amp;Labels!B108</f>
        <v xml:space="preserve">   Common</v>
      </c>
      <c r="B32" s="110">
        <f t="shared" si="1"/>
        <v>0</v>
      </c>
      <c r="C32" s="110">
        <f t="shared" si="1"/>
        <v>0</v>
      </c>
      <c r="D32" s="111">
        <f t="shared" si="1"/>
        <v>0</v>
      </c>
    </row>
    <row r="33" spans="1:7" ht="12.75" customHeight="1" x14ac:dyDescent="0.2">
      <c r="A33" s="28" t="str">
        <f>"   "&amp;Labels!B109</f>
        <v xml:space="preserve">   Warrant</v>
      </c>
      <c r="B33" s="110">
        <f t="shared" si="1"/>
        <v>0</v>
      </c>
      <c r="C33" s="110">
        <f t="shared" si="1"/>
        <v>0</v>
      </c>
      <c r="D33" s="111">
        <f t="shared" si="1"/>
        <v>0</v>
      </c>
    </row>
    <row r="34" spans="1:7" ht="12.75" customHeight="1" x14ac:dyDescent="0.2">
      <c r="A34" s="28" t="str">
        <f>"   "&amp;Labels!B110</f>
        <v xml:space="preserve">   Option</v>
      </c>
      <c r="B34" s="71"/>
      <c r="C34" s="71"/>
      <c r="D34" s="107"/>
    </row>
    <row r="35" spans="1:7" ht="12.75" customHeight="1" x14ac:dyDescent="0.2">
      <c r="A35" s="89" t="str">
        <f>"      "&amp;Labels!B111</f>
        <v xml:space="preserve">      Series B</v>
      </c>
      <c r="B35" s="108">
        <f t="shared" ref="B35:D36" si="2">B51</f>
        <v>0</v>
      </c>
      <c r="C35" s="108">
        <f t="shared" si="2"/>
        <v>0</v>
      </c>
      <c r="D35" s="109">
        <f t="shared" si="2"/>
        <v>0</v>
      </c>
    </row>
    <row r="36" spans="1:7" ht="12.75" customHeight="1" x14ac:dyDescent="0.2">
      <c r="A36" s="101" t="str">
        <f>"      "&amp;Labels!B112</f>
        <v xml:space="preserve">      Series A</v>
      </c>
      <c r="B36" s="112">
        <f t="shared" si="2"/>
        <v>0</v>
      </c>
      <c r="C36" s="112">
        <f t="shared" si="2"/>
        <v>0</v>
      </c>
      <c r="D36" s="113">
        <f t="shared" si="2"/>
        <v>0</v>
      </c>
    </row>
    <row r="37" spans="1:7" ht="12.75" customHeight="1" x14ac:dyDescent="0.2">
      <c r="A37" s="260" t="str">
        <f>"Note: You can override the model's default conversion decisions by entering numerical values."</f>
        <v>Note: You can override the model's default conversion decisions by entering numerical values.</v>
      </c>
      <c r="B37" s="260"/>
      <c r="C37" s="260"/>
      <c r="D37" s="260"/>
      <c r="E37" s="260"/>
      <c r="F37" s="260"/>
      <c r="G37" s="260"/>
    </row>
    <row r="39" spans="1:7" ht="12.75" customHeight="1" x14ac:dyDescent="0.2">
      <c r="A39" s="262" t="str">
        <f>"Default Conversion Decisions"</f>
        <v>Default Conversion Decisions</v>
      </c>
      <c r="B39" s="262"/>
    </row>
    <row r="40" spans="1:7" ht="12.75" hidden="1" customHeight="1" outlineLevel="1" x14ac:dyDescent="0.2">
      <c r="A40" s="1" t="str">
        <f>" "</f>
        <v xml:space="preserve"> </v>
      </c>
    </row>
    <row r="41" spans="1:7" ht="12.75" hidden="1" customHeight="1" outlineLevel="1" x14ac:dyDescent="0.2">
      <c r="B41" s="6" t="str">
        <f>Labels!B98</f>
        <v>Seed</v>
      </c>
      <c r="C41" s="7" t="str">
        <f>Labels!B99</f>
        <v>Round A</v>
      </c>
      <c r="D41" s="8" t="str">
        <f>Labels!B100</f>
        <v>Exit</v>
      </c>
    </row>
    <row r="42" spans="1:7" ht="12.75" hidden="1" customHeight="1" outlineLevel="1" x14ac:dyDescent="0.2">
      <c r="A42" s="11" t="str">
        <f>Labels!B6</f>
        <v>Default Conversion Decisions</v>
      </c>
      <c r="B42" s="114"/>
      <c r="C42" s="114"/>
      <c r="D42" s="115"/>
    </row>
    <row r="43" spans="1:7" ht="12.75" hidden="1" customHeight="1" outlineLevel="1" x14ac:dyDescent="0.2">
      <c r="A43" s="28" t="str">
        <f>"   "&amp;Labels!B103</f>
        <v xml:space="preserve">   Conv Note</v>
      </c>
      <c r="B43" s="116"/>
      <c r="C43" s="116"/>
      <c r="D43" s="117"/>
    </row>
    <row r="44" spans="1:7" ht="12.75" hidden="1" customHeight="1" outlineLevel="1" x14ac:dyDescent="0.2">
      <c r="A44" s="89" t="str">
        <f>"      "&amp;Labels!B104</f>
        <v xml:space="preserve">      Series B</v>
      </c>
      <c r="B44" s="118">
        <f>ABS(PRODUCT(B61:B65))</f>
        <v>0</v>
      </c>
      <c r="C44" s="118">
        <f>ABS(PRODUCT(C61:C65))</f>
        <v>0</v>
      </c>
      <c r="D44" s="119">
        <f>ABS(PRODUCT(D61:D65))</f>
        <v>0</v>
      </c>
    </row>
    <row r="45" spans="1:7" ht="12.75" hidden="1" customHeight="1" outlineLevel="1" x14ac:dyDescent="0.2">
      <c r="A45" s="89" t="str">
        <f>"      "&amp;Labels!B105</f>
        <v xml:space="preserve">      Series A</v>
      </c>
      <c r="B45" s="118">
        <f>ABS(PRODUCT(B67:B71))</f>
        <v>0</v>
      </c>
      <c r="C45" s="118">
        <f>ABS(PRODUCT(C67:C71))</f>
        <v>0</v>
      </c>
      <c r="D45" s="119">
        <f>ABS(PRODUCT(D67:D71))</f>
        <v>0</v>
      </c>
    </row>
    <row r="46" spans="1:7" ht="12.75" hidden="1" customHeight="1" outlineLevel="1" x14ac:dyDescent="0.2">
      <c r="A46" s="28" t="str">
        <f>"   "&amp;Labels!B106</f>
        <v xml:space="preserve">   Preferred</v>
      </c>
      <c r="B46" s="116"/>
      <c r="C46" s="116"/>
      <c r="D46" s="117"/>
    </row>
    <row r="47" spans="1:7" ht="12.75" hidden="1" customHeight="1" outlineLevel="1" x14ac:dyDescent="0.2">
      <c r="A47" s="89" t="str">
        <f>"      "&amp;Labels!B107</f>
        <v xml:space="preserve">      Series A</v>
      </c>
      <c r="B47" s="118">
        <f>ABS(PRODUCT(B74:B78))</f>
        <v>0</v>
      </c>
      <c r="C47" s="118">
        <f>ABS(PRODUCT(C74:C78))</f>
        <v>0</v>
      </c>
      <c r="D47" s="119">
        <f>ABS(PRODUCT(D74:D78))</f>
        <v>0</v>
      </c>
    </row>
    <row r="48" spans="1:7" ht="12.75" hidden="1" customHeight="1" outlineLevel="1" x14ac:dyDescent="0.2">
      <c r="A48" s="28" t="str">
        <f>"   "&amp;Labels!B108</f>
        <v xml:space="preserve">   Common</v>
      </c>
      <c r="B48" s="116">
        <f>0</f>
        <v>0</v>
      </c>
      <c r="C48" s="116">
        <f>0</f>
        <v>0</v>
      </c>
      <c r="D48" s="117">
        <f>0</f>
        <v>0</v>
      </c>
    </row>
    <row r="49" spans="1:4" ht="12.75" hidden="1" customHeight="1" outlineLevel="1" x14ac:dyDescent="0.2">
      <c r="A49" s="28" t="str">
        <f>"   "&amp;Labels!B109</f>
        <v xml:space="preserve">   Warrant</v>
      </c>
      <c r="B49" s="116">
        <f>ABS(PRODUCT(B86:B90))</f>
        <v>0</v>
      </c>
      <c r="C49" s="116">
        <f>ABS(PRODUCT(C86:C90))</f>
        <v>0</v>
      </c>
      <c r="D49" s="117">
        <f>ABS(PRODUCT(D86:D90))</f>
        <v>0</v>
      </c>
    </row>
    <row r="50" spans="1:4" ht="12.75" hidden="1" customHeight="1" outlineLevel="1" x14ac:dyDescent="0.2">
      <c r="A50" s="28" t="str">
        <f>"   "&amp;Labels!B110</f>
        <v xml:space="preserve">   Option</v>
      </c>
      <c r="B50" s="116"/>
      <c r="C50" s="116"/>
      <c r="D50" s="117"/>
    </row>
    <row r="51" spans="1:4" ht="12.75" hidden="1" customHeight="1" outlineLevel="1" x14ac:dyDescent="0.2">
      <c r="A51" s="89" t="str">
        <f>"      "&amp;Labels!B111</f>
        <v xml:space="preserve">      Series B</v>
      </c>
      <c r="B51" s="118">
        <f>ABS(PRODUCT(B93:B97))</f>
        <v>0</v>
      </c>
      <c r="C51" s="118">
        <f>ABS(PRODUCT(C93:C97))</f>
        <v>0</v>
      </c>
      <c r="D51" s="119">
        <f>ABS(PRODUCT(D93:D97))</f>
        <v>0</v>
      </c>
    </row>
    <row r="52" spans="1:4" ht="12.75" hidden="1" customHeight="1" outlineLevel="1" x14ac:dyDescent="0.2">
      <c r="A52" s="101" t="str">
        <f>"      "&amp;Labels!B112</f>
        <v xml:space="preserve">      Series A</v>
      </c>
      <c r="B52" s="120">
        <f>ABS(PRODUCT(B99:B103))</f>
        <v>0</v>
      </c>
      <c r="C52" s="120">
        <f>ABS(PRODUCT(C99:C103))</f>
        <v>0</v>
      </c>
      <c r="D52" s="121">
        <f>ABS(PRODUCT(D99:D103))</f>
        <v>0</v>
      </c>
    </row>
    <row r="53" spans="1:4" ht="12.75" hidden="1" customHeight="1" outlineLevel="1" x14ac:dyDescent="0.2">
      <c r="A53" s="260" t="str">
        <f>"Key: 1 means convert, 0 means don't convert"</f>
        <v>Key: 1 means convert, 0 means don't convert</v>
      </c>
      <c r="B53" s="260"/>
      <c r="C53" s="260"/>
    </row>
    <row r="54" spans="1:4" ht="12.75" hidden="1" customHeight="1" outlineLevel="1" x14ac:dyDescent="0.2"/>
    <row r="55" spans="1:4" ht="12.75" hidden="1" customHeight="1" outlineLevel="1" x14ac:dyDescent="0.2">
      <c r="A55" s="3" t="str">
        <f>"Decision Details"</f>
        <v>Decision Details</v>
      </c>
    </row>
    <row r="56" spans="1:4" ht="12.75" hidden="1" customHeight="1" outlineLevel="2" x14ac:dyDescent="0.2">
      <c r="A56" s="3" t="str">
        <f>" "</f>
        <v xml:space="preserve"> </v>
      </c>
    </row>
    <row r="57" spans="1:4" ht="12.75" hidden="1" customHeight="1" outlineLevel="2" x14ac:dyDescent="0.2">
      <c r="B57" s="6" t="str">
        <f>Labels!B98</f>
        <v>Seed</v>
      </c>
      <c r="C57" s="7" t="str">
        <f>Labels!B99</f>
        <v>Round A</v>
      </c>
      <c r="D57" s="8" t="str">
        <f>Labels!B100</f>
        <v>Exit</v>
      </c>
    </row>
    <row r="58" spans="1:4" ht="12.75" hidden="1" customHeight="1" outlineLevel="2" x14ac:dyDescent="0.2">
      <c r="A58" s="11" t="str">
        <f>Labels!B7</f>
        <v>Conversion Decisions Detail</v>
      </c>
      <c r="B58" s="114"/>
      <c r="C58" s="114"/>
      <c r="D58" s="115"/>
    </row>
    <row r="59" spans="1:4" ht="12.75" hidden="1" customHeight="1" outlineLevel="2" x14ac:dyDescent="0.2">
      <c r="A59" s="28" t="str">
        <f>"   "&amp;Labels!B103</f>
        <v xml:space="preserve">   Conv Note</v>
      </c>
      <c r="B59" s="116"/>
      <c r="C59" s="116"/>
      <c r="D59" s="117"/>
    </row>
    <row r="60" spans="1:4" ht="12.75" hidden="1" customHeight="1" outlineLevel="2" x14ac:dyDescent="0.2">
      <c r="A60" s="89" t="str">
        <f>"      "&amp;Labels!B104</f>
        <v xml:space="preserve">      Series B</v>
      </c>
      <c r="B60" s="118"/>
      <c r="C60" s="118"/>
      <c r="D60" s="119"/>
    </row>
    <row r="61" spans="1:4" ht="12.75" hidden="1" customHeight="1" outlineLevel="2" x14ac:dyDescent="0.2">
      <c r="A61" s="89" t="str">
        <f>"         "&amp;Labels!B84</f>
        <v xml:space="preserve">         Trigger Date</v>
      </c>
      <c r="B61" s="122">
        <f>IF(B7&gt;=Inputs!B28,1,0)</f>
        <v>0</v>
      </c>
      <c r="C61" s="122">
        <f>IF(C7&gt;=Inputs!B28,1,0)</f>
        <v>1</v>
      </c>
      <c r="D61" s="123">
        <f>IF(D7&gt;=Inputs!B28,1,0)</f>
        <v>1</v>
      </c>
    </row>
    <row r="62" spans="1:4" ht="12.75" hidden="1" customHeight="1" outlineLevel="2" x14ac:dyDescent="0.2">
      <c r="A62" s="89" t="str">
        <f>"         "&amp;Labels!B85</f>
        <v xml:space="preserve">         Trigger Invest</v>
      </c>
      <c r="B62" s="122">
        <f>IF(Investment!B89+Investment!B88+Investment!B85&gt;=Inputs!C28,1,0)</f>
        <v>0</v>
      </c>
      <c r="C62" s="122">
        <f>IF(Investment!C89+Investment!C88+Investment!C85&gt;=Inputs!C28,1,0)</f>
        <v>0</v>
      </c>
      <c r="D62" s="123">
        <f>IF(Investment!D89+Investment!D88+Investment!D85&gt;=Inputs!C28,1,0)</f>
        <v>0</v>
      </c>
    </row>
    <row r="63" spans="1:4" ht="12.75" hidden="1" customHeight="1" outlineLevel="2" x14ac:dyDescent="0.2">
      <c r="A63" s="89" t="str">
        <f>"         "&amp;Labels!B86</f>
        <v xml:space="preserve">         Trigger Value %</v>
      </c>
      <c r="B63" s="122">
        <f>IF(Inputs!D28*'(Other Variables)'!B192&gt;Investment!B85,1,0)</f>
        <v>1</v>
      </c>
      <c r="C63" s="122">
        <f>IF(Inputs!D28*'(Other Variables)'!C192&gt;Investment!C85,1,0)</f>
        <v>1</v>
      </c>
      <c r="D63" s="123">
        <f>IF(Inputs!D28*'(Other Variables)'!D192&gt;Investment!D85,1,0)</f>
        <v>1</v>
      </c>
    </row>
    <row r="64" spans="1:4" ht="12.75" hidden="1" customHeight="1" outlineLevel="2" x14ac:dyDescent="0.2">
      <c r="A64" s="89" t="str">
        <f>"         "&amp;Labels!B87</f>
        <v xml:space="preserve">         Liquidation</v>
      </c>
      <c r="B64" s="122">
        <f>IF((0+Investment!B290+'(Other Variables)'!B230)/(1-Inputs!B23)&gt;(1+Inputs!E28)*(0+'(Other Variables)'!B230*Inputs!C23),1,0)</f>
        <v>0</v>
      </c>
      <c r="C64" s="122">
        <f>IF((Investment!B274+Investment!C290+'(Other Variables)'!C230)/(1-Inputs!B23)&gt;(1+Inputs!E28)*(Payout!B75+'(Other Variables)'!C230*Inputs!C23),1,0)</f>
        <v>0</v>
      </c>
      <c r="D64" s="123">
        <f>IF((Investment!C274+Investment!D290+'(Other Variables)'!D230)/(1-Inputs!B23)&gt;(1+Inputs!E28)*(Payout!C75+'(Other Variables)'!D230*Inputs!C23),1,0)</f>
        <v>0</v>
      </c>
    </row>
    <row r="65" spans="1:4" ht="12.75" hidden="1" customHeight="1" outlineLevel="2" x14ac:dyDescent="0.2">
      <c r="A65" s="89" t="str">
        <f>"         "&amp;Labels!B88</f>
        <v xml:space="preserve">         Trigger Price</v>
      </c>
      <c r="B65" s="122">
        <f>-1</f>
        <v>-1</v>
      </c>
      <c r="C65" s="122">
        <f>-1</f>
        <v>-1</v>
      </c>
      <c r="D65" s="123">
        <f>-1</f>
        <v>-1</v>
      </c>
    </row>
    <row r="66" spans="1:4" ht="12.75" hidden="1" customHeight="1" outlineLevel="2" x14ac:dyDescent="0.2">
      <c r="A66" s="89" t="str">
        <f>"      "&amp;Labels!B105</f>
        <v xml:space="preserve">      Series A</v>
      </c>
      <c r="B66" s="118"/>
      <c r="C66" s="118"/>
      <c r="D66" s="119"/>
    </row>
    <row r="67" spans="1:4" ht="12.75" hidden="1" customHeight="1" outlineLevel="2" x14ac:dyDescent="0.2">
      <c r="A67" s="89" t="str">
        <f>"         "&amp;Labels!B84</f>
        <v xml:space="preserve">         Trigger Date</v>
      </c>
      <c r="B67" s="122">
        <f>IF(B7&gt;=Inputs!B29,1,0)</f>
        <v>0</v>
      </c>
      <c r="C67" s="122">
        <f>IF(C7&gt;=Inputs!B29,1,0)</f>
        <v>1</v>
      </c>
      <c r="D67" s="123">
        <f>IF(D7&gt;=Inputs!B29,1,0)</f>
        <v>1</v>
      </c>
    </row>
    <row r="68" spans="1:4" ht="12.75" hidden="1" customHeight="1" outlineLevel="2" x14ac:dyDescent="0.2">
      <c r="A68" s="89" t="str">
        <f>"         "&amp;Labels!B85</f>
        <v xml:space="preserve">         Trigger Invest</v>
      </c>
      <c r="B68" s="122">
        <f>IF(Investment!B89+Investment!B88+Investment!B85&gt;=Inputs!C29,1,0)</f>
        <v>0</v>
      </c>
      <c r="C68" s="122">
        <f>IF(Investment!C89+Investment!C88+Investment!C85&gt;=Inputs!C29,1,0)</f>
        <v>0</v>
      </c>
      <c r="D68" s="123">
        <f>IF(Investment!D89+Investment!D88+Investment!D85&gt;=Inputs!C29,1,0)</f>
        <v>0</v>
      </c>
    </row>
    <row r="69" spans="1:4" ht="12.75" hidden="1" customHeight="1" outlineLevel="2" x14ac:dyDescent="0.2">
      <c r="A69" s="89" t="str">
        <f>"         "&amp;Labels!B86</f>
        <v xml:space="preserve">         Trigger Value %</v>
      </c>
      <c r="B69" s="122">
        <f>IF(Inputs!D29*'(Other Variables)'!B192&gt;Investment!B85,1,0)</f>
        <v>1</v>
      </c>
      <c r="C69" s="122">
        <f>IF(Inputs!D29*'(Other Variables)'!C192&gt;Investment!C85,1,0)</f>
        <v>1</v>
      </c>
      <c r="D69" s="123">
        <f>IF(Inputs!D29*'(Other Variables)'!D192&gt;Investment!D85,1,0)</f>
        <v>1</v>
      </c>
    </row>
    <row r="70" spans="1:4" ht="12.75" hidden="1" customHeight="1" outlineLevel="2" x14ac:dyDescent="0.2">
      <c r="A70" s="89" t="str">
        <f>"         "&amp;Labels!B87</f>
        <v xml:space="preserve">         Liquidation</v>
      </c>
      <c r="B70" s="122">
        <f>IF((0+Investment!B291+'(Other Variables)'!B231)/(1-Inputs!B24)&gt;(1+Inputs!E29)*(0+'(Other Variables)'!B231*Inputs!C24),1,0)</f>
        <v>0</v>
      </c>
      <c r="C70" s="122">
        <f>IF((Investment!B275+Investment!C291+'(Other Variables)'!C231)/(1-Inputs!B24)&gt;(1+Inputs!E29)*(Payout!B76+'(Other Variables)'!C231*Inputs!C24),1,0)</f>
        <v>0</v>
      </c>
      <c r="D70" s="123">
        <f>IF((Investment!C275+Investment!D291+'(Other Variables)'!D231)/(1-Inputs!B24)&gt;(1+Inputs!E29)*(Payout!C76+'(Other Variables)'!D231*Inputs!C24),1,0)</f>
        <v>0</v>
      </c>
    </row>
    <row r="71" spans="1:4" ht="12.75" hidden="1" customHeight="1" outlineLevel="2" x14ac:dyDescent="0.2">
      <c r="A71" s="89" t="str">
        <f>"         "&amp;Labels!B88</f>
        <v xml:space="preserve">         Trigger Price</v>
      </c>
      <c r="B71" s="122">
        <f>-1</f>
        <v>-1</v>
      </c>
      <c r="C71" s="122">
        <f>-1</f>
        <v>-1</v>
      </c>
      <c r="D71" s="123">
        <f>-1</f>
        <v>-1</v>
      </c>
    </row>
    <row r="72" spans="1:4" ht="12.75" hidden="1" customHeight="1" outlineLevel="2" x14ac:dyDescent="0.2">
      <c r="A72" s="28" t="str">
        <f>"   "&amp;Labels!B106</f>
        <v xml:space="preserve">   Preferred</v>
      </c>
      <c r="B72" s="116"/>
      <c r="C72" s="116"/>
      <c r="D72" s="117"/>
    </row>
    <row r="73" spans="1:4" ht="12.75" hidden="1" customHeight="1" outlineLevel="2" x14ac:dyDescent="0.2">
      <c r="A73" s="89" t="str">
        <f>"      "&amp;Labels!B107</f>
        <v xml:space="preserve">      Series A</v>
      </c>
      <c r="B73" s="118"/>
      <c r="C73" s="118"/>
      <c r="D73" s="119"/>
    </row>
    <row r="74" spans="1:4" ht="12.75" hidden="1" customHeight="1" outlineLevel="2" x14ac:dyDescent="0.2">
      <c r="A74" s="89" t="str">
        <f>"         "&amp;Labels!B84</f>
        <v xml:space="preserve">         Trigger Date</v>
      </c>
      <c r="B74" s="122">
        <f>IF(B7&gt;=Inputs!B57,1,0)</f>
        <v>0</v>
      </c>
      <c r="C74" s="122">
        <f>IF(C7&gt;=Inputs!B57,1,0)</f>
        <v>1</v>
      </c>
      <c r="D74" s="123">
        <f>IF(D7&gt;=Inputs!B57,1,0)</f>
        <v>1</v>
      </c>
    </row>
    <row r="75" spans="1:4" ht="12.75" hidden="1" customHeight="1" outlineLevel="2" x14ac:dyDescent="0.2">
      <c r="A75" s="89" t="str">
        <f>"         "&amp;Labels!B85</f>
        <v xml:space="preserve">         Trigger Invest</v>
      </c>
      <c r="B75" s="122">
        <f>IF(Investment!B89+Investment!B88+Investment!B85&gt;=Inputs!C57,1,0)</f>
        <v>0</v>
      </c>
      <c r="C75" s="122">
        <f>IF(Investment!C89+Investment!C88+Investment!C85&gt;=Inputs!C57,1,0)</f>
        <v>0</v>
      </c>
      <c r="D75" s="123">
        <f>IF(Investment!D89+Investment!D88+Investment!D85&gt;=Inputs!C57,1,0)</f>
        <v>0</v>
      </c>
    </row>
    <row r="76" spans="1:4" ht="12.75" hidden="1" customHeight="1" outlineLevel="2" x14ac:dyDescent="0.2">
      <c r="A76" s="89" t="str">
        <f>"         "&amp;Labels!B86</f>
        <v xml:space="preserve">         Trigger Value %</v>
      </c>
      <c r="B76" s="122">
        <f>IF(Inputs!D57*'(Other Variables)'!B192&gt;Investment!B85,1,0)</f>
        <v>1</v>
      </c>
      <c r="C76" s="122">
        <f>IF(Inputs!D57*'(Other Variables)'!C192&gt;Investment!C85,1,0)</f>
        <v>1</v>
      </c>
      <c r="D76" s="123">
        <f>IF(Inputs!D57*'(Other Variables)'!D192&gt;Investment!D85,1,0)</f>
        <v>1</v>
      </c>
    </row>
    <row r="77" spans="1:4" ht="12.75" hidden="1" customHeight="1" outlineLevel="2" x14ac:dyDescent="0.2">
      <c r="A77" s="89" t="str">
        <f>"         "&amp;Labels!B87</f>
        <v xml:space="preserve">         Liquidation</v>
      </c>
      <c r="B77" s="122">
        <f>IF((0+Investment!B294+'(Other Variables)'!B234)/(1+Inputs!B50)&gt;(1+Inputs!E57)*0+'(Other Variables)'!B234*Inputs!B53,1,0)</f>
        <v>0</v>
      </c>
      <c r="C77" s="122">
        <f>IF((Investment!B278+Investment!C294+'(Other Variables)'!C234)/(1+Inputs!C50)&gt;(1+Inputs!E57)*Payout!B81+'(Other Variables)'!C234*Inputs!B53,1,0)</f>
        <v>0</v>
      </c>
      <c r="D77" s="123">
        <f>IF((Investment!C278+Investment!D294+'(Other Variables)'!D234)/(1+Inputs!D50)&gt;(1+Inputs!E57)*Payout!C81+'(Other Variables)'!D234*Inputs!B53,1,0)</f>
        <v>0</v>
      </c>
    </row>
    <row r="78" spans="1:4" ht="12.75" hidden="1" customHeight="1" outlineLevel="2" x14ac:dyDescent="0.2">
      <c r="A78" s="89" t="str">
        <f>"         "&amp;Labels!B88</f>
        <v xml:space="preserve">         Trigger Price</v>
      </c>
      <c r="B78" s="122">
        <f>-1</f>
        <v>-1</v>
      </c>
      <c r="C78" s="122">
        <f>-1</f>
        <v>-1</v>
      </c>
      <c r="D78" s="123">
        <f>-1</f>
        <v>-1</v>
      </c>
    </row>
    <row r="79" spans="1:4" ht="12.75" hidden="1" customHeight="1" outlineLevel="2" x14ac:dyDescent="0.2">
      <c r="A79" s="89" t="str">
        <f>"   "&amp;Labels!B108</f>
        <v xml:space="preserve">   Common</v>
      </c>
      <c r="B79" s="118"/>
      <c r="C79" s="118"/>
      <c r="D79" s="119"/>
    </row>
    <row r="80" spans="1:4" ht="12.75" hidden="1" customHeight="1" outlineLevel="2" x14ac:dyDescent="0.2">
      <c r="A80" s="89" t="str">
        <f>"         "&amp;Labels!B84</f>
        <v xml:space="preserve">         Trigger Date</v>
      </c>
      <c r="B80" s="122">
        <f t="shared" ref="B80:D84" si="3">-1</f>
        <v>-1</v>
      </c>
      <c r="C80" s="122">
        <f t="shared" si="3"/>
        <v>-1</v>
      </c>
      <c r="D80" s="123">
        <f t="shared" si="3"/>
        <v>-1</v>
      </c>
    </row>
    <row r="81" spans="1:4" ht="12.75" hidden="1" customHeight="1" outlineLevel="2" x14ac:dyDescent="0.2">
      <c r="A81" s="89" t="str">
        <f>"         "&amp;Labels!B85</f>
        <v xml:space="preserve">         Trigger Invest</v>
      </c>
      <c r="B81" s="122">
        <f t="shared" si="3"/>
        <v>-1</v>
      </c>
      <c r="C81" s="122">
        <f t="shared" si="3"/>
        <v>-1</v>
      </c>
      <c r="D81" s="123">
        <f t="shared" si="3"/>
        <v>-1</v>
      </c>
    </row>
    <row r="82" spans="1:4" ht="12.75" hidden="1" customHeight="1" outlineLevel="2" x14ac:dyDescent="0.2">
      <c r="A82" s="89" t="str">
        <f>"         "&amp;Labels!B86</f>
        <v xml:space="preserve">         Trigger Value %</v>
      </c>
      <c r="B82" s="122">
        <f t="shared" si="3"/>
        <v>-1</v>
      </c>
      <c r="C82" s="122">
        <f t="shared" si="3"/>
        <v>-1</v>
      </c>
      <c r="D82" s="123">
        <f t="shared" si="3"/>
        <v>-1</v>
      </c>
    </row>
    <row r="83" spans="1:4" ht="12.75" hidden="1" customHeight="1" outlineLevel="2" x14ac:dyDescent="0.2">
      <c r="A83" s="89" t="str">
        <f>"         "&amp;Labels!B87</f>
        <v xml:space="preserve">         Liquidation</v>
      </c>
      <c r="B83" s="122">
        <f t="shared" si="3"/>
        <v>-1</v>
      </c>
      <c r="C83" s="122">
        <f t="shared" si="3"/>
        <v>-1</v>
      </c>
      <c r="D83" s="123">
        <f t="shared" si="3"/>
        <v>-1</v>
      </c>
    </row>
    <row r="84" spans="1:4" ht="12.75" hidden="1" customHeight="1" outlineLevel="2" x14ac:dyDescent="0.2">
      <c r="A84" s="89" t="str">
        <f>"         "&amp;Labels!B88</f>
        <v xml:space="preserve">         Trigger Price</v>
      </c>
      <c r="B84" s="122">
        <f t="shared" si="3"/>
        <v>-1</v>
      </c>
      <c r="C84" s="122">
        <f t="shared" si="3"/>
        <v>-1</v>
      </c>
      <c r="D84" s="123">
        <f t="shared" si="3"/>
        <v>-1</v>
      </c>
    </row>
    <row r="85" spans="1:4" ht="12.75" hidden="1" customHeight="1" outlineLevel="2" x14ac:dyDescent="0.2">
      <c r="A85" s="89" t="str">
        <f>"   "&amp;Labels!B109</f>
        <v xml:space="preserve">   Warrant</v>
      </c>
      <c r="B85" s="118"/>
      <c r="C85" s="118"/>
      <c r="D85" s="119"/>
    </row>
    <row r="86" spans="1:4" ht="12.75" hidden="1" customHeight="1" outlineLevel="2" x14ac:dyDescent="0.2">
      <c r="A86" s="89" t="str">
        <f>"         "&amp;Labels!B84</f>
        <v xml:space="preserve">         Trigger Date</v>
      </c>
      <c r="B86" s="122">
        <f>IF(B7&gt;=Boneyard!D14,1,0)</f>
        <v>0</v>
      </c>
      <c r="C86" s="122">
        <f>IF(C7&gt;=Boneyard!D14,1,0)</f>
        <v>1</v>
      </c>
      <c r="D86" s="123">
        <f>IF(D7&gt;=Boneyard!D14,1,0)</f>
        <v>1</v>
      </c>
    </row>
    <row r="87" spans="1:4" ht="12.75" hidden="1" customHeight="1" outlineLevel="2" x14ac:dyDescent="0.2">
      <c r="A87" s="89" t="str">
        <f>"         "&amp;Labels!B85</f>
        <v xml:space="preserve">         Trigger Invest</v>
      </c>
      <c r="B87" s="122">
        <f>IF(Investment!B89+Investment!B88+Investment!B85&gt;=Boneyard!F14,1,0)</f>
        <v>0</v>
      </c>
      <c r="C87" s="122">
        <f>IF(Investment!C89+Investment!C88+Investment!C85&gt;=Boneyard!F14,1,0)</f>
        <v>0</v>
      </c>
      <c r="D87" s="123">
        <f>IF(Investment!D89+Investment!D88+Investment!D85&gt;=Boneyard!F14,1,0)</f>
        <v>0</v>
      </c>
    </row>
    <row r="88" spans="1:4" ht="12.75" hidden="1" customHeight="1" outlineLevel="2" x14ac:dyDescent="0.2">
      <c r="A88" s="89" t="str">
        <f>"         "&amp;Labels!B86</f>
        <v xml:space="preserve">         Trigger Value %</v>
      </c>
      <c r="B88" s="122">
        <f t="shared" ref="B88:D89" si="4">-1</f>
        <v>-1</v>
      </c>
      <c r="C88" s="122">
        <f t="shared" si="4"/>
        <v>-1</v>
      </c>
      <c r="D88" s="123">
        <f t="shared" si="4"/>
        <v>-1</v>
      </c>
    </row>
    <row r="89" spans="1:4" ht="12.75" hidden="1" customHeight="1" outlineLevel="2" x14ac:dyDescent="0.2">
      <c r="A89" s="89" t="str">
        <f>"         "&amp;Labels!B87</f>
        <v xml:space="preserve">         Liquidation</v>
      </c>
      <c r="B89" s="122">
        <f t="shared" si="4"/>
        <v>-1</v>
      </c>
      <c r="C89" s="122">
        <f t="shared" si="4"/>
        <v>-1</v>
      </c>
      <c r="D89" s="123">
        <f t="shared" si="4"/>
        <v>-1</v>
      </c>
    </row>
    <row r="90" spans="1:4" ht="12.75" hidden="1" customHeight="1" outlineLevel="2" x14ac:dyDescent="0.2">
      <c r="A90" s="89" t="str">
        <f>"         "&amp;Labels!B88</f>
        <v xml:space="preserve">         Trigger Price</v>
      </c>
      <c r="B90" s="122">
        <f>IF('(Other Variables)'!B12&lt;'(Other Variables)'!B181,1,0)</f>
        <v>1</v>
      </c>
      <c r="C90" s="122">
        <f>IF('(Other Variables)'!B12&lt;'(Other Variables)'!C181,1,0)</f>
        <v>1</v>
      </c>
      <c r="D90" s="123">
        <f>IF('(Other Variables)'!B12&lt;'(Other Variables)'!D181,1,0)</f>
        <v>1</v>
      </c>
    </row>
    <row r="91" spans="1:4" ht="12.75" hidden="1" customHeight="1" outlineLevel="2" x14ac:dyDescent="0.2">
      <c r="A91" s="28" t="str">
        <f>"   "&amp;Labels!B110</f>
        <v xml:space="preserve">   Option</v>
      </c>
      <c r="B91" s="116"/>
      <c r="C91" s="116"/>
      <c r="D91" s="117"/>
    </row>
    <row r="92" spans="1:4" ht="12.75" hidden="1" customHeight="1" outlineLevel="2" x14ac:dyDescent="0.2">
      <c r="A92" s="89" t="str">
        <f>"      "&amp;Labels!B111</f>
        <v xml:space="preserve">      Series B</v>
      </c>
      <c r="B92" s="118"/>
      <c r="C92" s="118"/>
      <c r="D92" s="119"/>
    </row>
    <row r="93" spans="1:4" ht="12.75" hidden="1" customHeight="1" outlineLevel="2" x14ac:dyDescent="0.2">
      <c r="A93" s="89" t="str">
        <f>"         "&amp;Labels!B84</f>
        <v xml:space="preserve">         Trigger Date</v>
      </c>
      <c r="B93" s="122">
        <f>IF(B7&gt;=Inputs!C101,1,0)</f>
        <v>0</v>
      </c>
      <c r="C93" s="122">
        <f>IF(C7&gt;=Inputs!C101,1,0)</f>
        <v>1</v>
      </c>
      <c r="D93" s="123">
        <f>IF(D7&gt;=Inputs!C101,1,0)</f>
        <v>1</v>
      </c>
    </row>
    <row r="94" spans="1:4" ht="12.75" hidden="1" customHeight="1" outlineLevel="2" x14ac:dyDescent="0.2">
      <c r="A94" s="89" t="str">
        <f>"         "&amp;Labels!B85</f>
        <v xml:space="preserve">         Trigger Invest</v>
      </c>
      <c r="B94" s="122">
        <f>IF(Investment!B89+Investment!B88+Investment!B85&gt;=Inputs!D101,1,0)</f>
        <v>0</v>
      </c>
      <c r="C94" s="122">
        <f>IF(Investment!C89+Investment!C88+Investment!C85&gt;=Inputs!D101,1,0)</f>
        <v>0</v>
      </c>
      <c r="D94" s="123">
        <f>IF(Investment!D89+Investment!D88+Investment!D85&gt;=Inputs!D101,1,0)</f>
        <v>0</v>
      </c>
    </row>
    <row r="95" spans="1:4" ht="12.75" hidden="1" customHeight="1" outlineLevel="2" x14ac:dyDescent="0.2">
      <c r="A95" s="89" t="str">
        <f>"         "&amp;Labels!B86</f>
        <v xml:space="preserve">         Trigger Value %</v>
      </c>
      <c r="B95" s="122">
        <f t="shared" ref="B95:D96" si="5">-1</f>
        <v>-1</v>
      </c>
      <c r="C95" s="122">
        <f t="shared" si="5"/>
        <v>-1</v>
      </c>
      <c r="D95" s="123">
        <f t="shared" si="5"/>
        <v>-1</v>
      </c>
    </row>
    <row r="96" spans="1:4" ht="12.75" hidden="1" customHeight="1" outlineLevel="2" x14ac:dyDescent="0.2">
      <c r="A96" s="89" t="str">
        <f>"         "&amp;Labels!B87</f>
        <v xml:space="preserve">         Liquidation</v>
      </c>
      <c r="B96" s="122">
        <f t="shared" si="5"/>
        <v>-1</v>
      </c>
      <c r="C96" s="122">
        <f t="shared" si="5"/>
        <v>-1</v>
      </c>
      <c r="D96" s="123">
        <f t="shared" si="5"/>
        <v>-1</v>
      </c>
    </row>
    <row r="97" spans="1:6" ht="12.75" hidden="1" customHeight="1" outlineLevel="2" x14ac:dyDescent="0.2">
      <c r="A97" s="89" t="str">
        <f>"         "&amp;Labels!B88</f>
        <v xml:space="preserve">         Trigger Price</v>
      </c>
      <c r="B97" s="122">
        <f>IF(Inputs!B101&lt;'(Other Variables)'!B181,1,0)</f>
        <v>1</v>
      </c>
      <c r="C97" s="122">
        <f>IF(Inputs!B101&lt;'(Other Variables)'!C181,1,0)</f>
        <v>1</v>
      </c>
      <c r="D97" s="123">
        <f>IF(Inputs!B101&lt;'(Other Variables)'!D181,1,0)</f>
        <v>1</v>
      </c>
    </row>
    <row r="98" spans="1:6" ht="12.75" hidden="1" customHeight="1" outlineLevel="2" x14ac:dyDescent="0.2">
      <c r="A98" s="89" t="str">
        <f>"      "&amp;Labels!B112</f>
        <v xml:space="preserve">      Series A</v>
      </c>
      <c r="B98" s="118"/>
      <c r="C98" s="118"/>
      <c r="D98" s="119"/>
    </row>
    <row r="99" spans="1:6" ht="12.75" hidden="1" customHeight="1" outlineLevel="2" x14ac:dyDescent="0.2">
      <c r="A99" s="89" t="str">
        <f>"         "&amp;Labels!B84</f>
        <v xml:space="preserve">         Trigger Date</v>
      </c>
      <c r="B99" s="122">
        <f>IF(B7&gt;=Inputs!C102,1,0)</f>
        <v>0</v>
      </c>
      <c r="C99" s="122">
        <f>IF(C7&gt;=Inputs!C102,1,0)</f>
        <v>1</v>
      </c>
      <c r="D99" s="123">
        <f>IF(D7&gt;=Inputs!C102,1,0)</f>
        <v>1</v>
      </c>
    </row>
    <row r="100" spans="1:6" ht="12.75" hidden="1" customHeight="1" outlineLevel="2" x14ac:dyDescent="0.2">
      <c r="A100" s="89" t="str">
        <f>"         "&amp;Labels!B85</f>
        <v xml:space="preserve">         Trigger Invest</v>
      </c>
      <c r="B100" s="122">
        <f>IF(Investment!B89+Investment!B88+Investment!B85&gt;=Inputs!D102,1,0)</f>
        <v>0</v>
      </c>
      <c r="C100" s="122">
        <f>IF(Investment!C89+Investment!C88+Investment!C85&gt;=Inputs!D102,1,0)</f>
        <v>0</v>
      </c>
      <c r="D100" s="123">
        <f>IF(Investment!D89+Investment!D88+Investment!D85&gt;=Inputs!D102,1,0)</f>
        <v>0</v>
      </c>
    </row>
    <row r="101" spans="1:6" ht="12.75" hidden="1" customHeight="1" outlineLevel="2" x14ac:dyDescent="0.2">
      <c r="A101" s="89" t="str">
        <f>"         "&amp;Labels!B86</f>
        <v xml:space="preserve">         Trigger Value %</v>
      </c>
      <c r="B101" s="122">
        <f t="shared" ref="B101:D102" si="6">-1</f>
        <v>-1</v>
      </c>
      <c r="C101" s="122">
        <f t="shared" si="6"/>
        <v>-1</v>
      </c>
      <c r="D101" s="123">
        <f t="shared" si="6"/>
        <v>-1</v>
      </c>
    </row>
    <row r="102" spans="1:6" ht="12.75" hidden="1" customHeight="1" outlineLevel="2" x14ac:dyDescent="0.2">
      <c r="A102" s="89" t="str">
        <f>"         "&amp;Labels!B87</f>
        <v xml:space="preserve">         Liquidation</v>
      </c>
      <c r="B102" s="122">
        <f t="shared" si="6"/>
        <v>-1</v>
      </c>
      <c r="C102" s="122">
        <f t="shared" si="6"/>
        <v>-1</v>
      </c>
      <c r="D102" s="123">
        <f t="shared" si="6"/>
        <v>-1</v>
      </c>
    </row>
    <row r="103" spans="1:6" ht="12.75" hidden="1" customHeight="1" outlineLevel="2" x14ac:dyDescent="0.2">
      <c r="A103" s="101" t="str">
        <f>"         "&amp;Labels!B88</f>
        <v xml:space="preserve">         Trigger Price</v>
      </c>
      <c r="B103" s="124">
        <f>IF(Inputs!B102&lt;'(Other Variables)'!B181,1,0)</f>
        <v>1</v>
      </c>
      <c r="C103" s="124">
        <f>IF(Inputs!B102&lt;'(Other Variables)'!C181,1,0)</f>
        <v>1</v>
      </c>
      <c r="D103" s="125">
        <f>IF(Inputs!B102&lt;'(Other Variables)'!D181,1,0)</f>
        <v>1</v>
      </c>
    </row>
    <row r="104" spans="1:6" ht="12.75" hidden="1" customHeight="1" outlineLevel="2" x14ac:dyDescent="0.2">
      <c r="A104" s="260" t="str">
        <f>"The default conversion decision for each security is positive (negative)"</f>
        <v>The default conversion decision for each security is positive (negative)</v>
      </c>
      <c r="B104" s="260"/>
      <c r="C104" s="260"/>
      <c r="D104" s="260"/>
      <c r="E104" s="260"/>
      <c r="F104" s="260"/>
    </row>
    <row r="105" spans="1:6" ht="12.75" hidden="1" customHeight="1" outlineLevel="2" x14ac:dyDescent="0.2">
      <c r="A105" s="260" t="str">
        <f>"if all these built-in conditions are satisfied (not satisfied)."</f>
        <v>if all these built-in conditions are satisfied (not satisfied).</v>
      </c>
      <c r="B105" s="260"/>
      <c r="C105" s="260"/>
      <c r="D105" s="260"/>
      <c r="E105" s="260"/>
      <c r="F105" s="260"/>
    </row>
    <row r="106" spans="1:6" ht="12.75" hidden="1" customHeight="1" outlineLevel="2" x14ac:dyDescent="0.2">
      <c r="A106" s="260" t="str">
        <f>"1) The date of the current round &gt;= the trigger date"</f>
        <v>1) The date of the current round &gt;= the trigger date</v>
      </c>
      <c r="B106" s="260"/>
      <c r="C106" s="260"/>
      <c r="D106" s="260"/>
      <c r="E106" s="260"/>
      <c r="F106" s="260"/>
    </row>
    <row r="107" spans="1:6" ht="12.75" hidden="1" customHeight="1" outlineLevel="2" x14ac:dyDescent="0.2">
      <c r="A107" s="260" t="str">
        <f>"2) The sum of investments in common, preferred and notes &gt; the trigger investment threshhold"</f>
        <v>2) The sum of investments in common, preferred and notes &gt; the trigger investment threshhold</v>
      </c>
      <c r="B107" s="260"/>
      <c r="C107" s="260"/>
      <c r="D107" s="260"/>
      <c r="E107" s="260"/>
      <c r="F107" s="260"/>
    </row>
    <row r="108" spans="1:6" ht="12.75" hidden="1" customHeight="1" outlineLevel="2" x14ac:dyDescent="0.2">
      <c r="A108" s="260" t="str">
        <f>"3) For notes and preferred: investment in notes + preferred &lt; a stated fraction of firm value."</f>
        <v>3) For notes and preferred: investment in notes + preferred &lt; a stated fraction of firm value.</v>
      </c>
      <c r="B108" s="260"/>
      <c r="C108" s="260"/>
      <c r="D108" s="260"/>
      <c r="E108" s="260"/>
      <c r="F108" s="260"/>
    </row>
    <row r="109" spans="1:6" ht="12.75" hidden="1" customHeight="1" outlineLevel="2" x14ac:dyDescent="0.2">
      <c r="A109" s="260" t="str">
        <f>"4) For notes and preferred: value of common shares obtained &gt; (1+premium) * liquidation preference."</f>
        <v>4) For notes and preferred: value of common shares obtained &gt; (1+premium) * liquidation preference.</v>
      </c>
      <c r="B109" s="260"/>
      <c r="C109" s="260"/>
      <c r="D109" s="260"/>
      <c r="E109" s="260"/>
      <c r="F109" s="260"/>
    </row>
    <row r="110" spans="1:6" ht="12.75" hidden="1" customHeight="1" outlineLevel="2" x14ac:dyDescent="0.2">
      <c r="A110" s="260" t="str">
        <f>"5) For warrants and options: common share price &gt;= exercise price."</f>
        <v>5) For warrants and options: common share price &gt;= exercise price.</v>
      </c>
      <c r="B110" s="260"/>
      <c r="C110" s="260"/>
      <c r="D110" s="260"/>
      <c r="E110" s="260"/>
      <c r="F110" s="260"/>
    </row>
    <row r="111" spans="1:6" ht="12.75" hidden="1" customHeight="1" outlineLevel="2" x14ac:dyDescent="0.2">
      <c r="A111" s="260" t="str">
        <f>"Key"</f>
        <v>Key</v>
      </c>
      <c r="B111" s="260"/>
      <c r="C111" s="260"/>
      <c r="D111" s="260"/>
      <c r="E111" s="260"/>
      <c r="F111" s="260"/>
    </row>
    <row r="112" spans="1:6" ht="12.75" hidden="1" customHeight="1" outlineLevel="2" x14ac:dyDescent="0.2">
      <c r="A112" s="260" t="str">
        <f>"-1 : condition is satisfied"</f>
        <v>-1 : condition is satisfied</v>
      </c>
      <c r="B112" s="260"/>
      <c r="C112" s="260"/>
      <c r="D112" s="260"/>
      <c r="E112" s="260"/>
      <c r="F112" s="260"/>
    </row>
    <row r="113" spans="1:6" ht="12.75" hidden="1" customHeight="1" outlineLevel="2" x14ac:dyDescent="0.2">
      <c r="A113" s="260" t="str">
        <f>" 0 : condition is not satisfied"</f>
        <v xml:space="preserve"> 0 : condition is not satisfied</v>
      </c>
      <c r="B113" s="260"/>
      <c r="C113" s="260"/>
      <c r="D113" s="260"/>
      <c r="E113" s="260"/>
      <c r="F113" s="260"/>
    </row>
    <row r="114" spans="1:6" ht="12.75" hidden="1" customHeight="1" outlineLevel="2" x14ac:dyDescent="0.2">
      <c r="A114" s="260" t="str">
        <f>"-1 : condition is not relevant"</f>
        <v>-1 : condition is not relevant</v>
      </c>
      <c r="B114" s="260"/>
      <c r="C114" s="260"/>
      <c r="D114" s="260"/>
      <c r="E114" s="260"/>
      <c r="F114" s="260"/>
    </row>
    <row r="115" spans="1:6" ht="12.75" hidden="1" customHeight="1" outlineLevel="2" collapsed="1" x14ac:dyDescent="0.2"/>
    <row r="116" spans="1:6" ht="12.75" hidden="1" customHeight="1" outlineLevel="1" collapsed="1" x14ac:dyDescent="0.2"/>
    <row r="117" spans="1:6" ht="12.75" customHeight="1" collapsed="1" x14ac:dyDescent="0.2"/>
  </sheetData>
  <mergeCells count="20">
    <mergeCell ref="A106:F106"/>
    <mergeCell ref="A1:D1"/>
    <mergeCell ref="A2:D2"/>
    <mergeCell ref="A3:D3"/>
    <mergeCell ref="A4:D4"/>
    <mergeCell ref="A5:D5"/>
    <mergeCell ref="A9:E9"/>
    <mergeCell ref="A37:G37"/>
    <mergeCell ref="A39:B39"/>
    <mergeCell ref="A53:C53"/>
    <mergeCell ref="A104:F104"/>
    <mergeCell ref="A105:F105"/>
    <mergeCell ref="A113:F113"/>
    <mergeCell ref="A114:F114"/>
    <mergeCell ref="A107:F107"/>
    <mergeCell ref="A108:F108"/>
    <mergeCell ref="A109:F109"/>
    <mergeCell ref="A110:F110"/>
    <mergeCell ref="A111:F111"/>
    <mergeCell ref="A112:F112"/>
  </mergeCells>
  <pageMargins left="0.25" right="0.25" top="0.5" bottom="0.5" header="0.5" footer="0.5"/>
  <pageSetup paperSize="9" fitToHeight="32767" orientation="landscape"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46"/>
  <sheetViews>
    <sheetView zoomScaleNormal="100" workbookViewId="0"/>
  </sheetViews>
  <sheetFormatPr defaultRowHeight="12.75" customHeight="1" x14ac:dyDescent="0.2"/>
  <cols>
    <col min="1" max="1" width="16.42578125" customWidth="1"/>
    <col min="2" max="4" width="9.5703125" customWidth="1"/>
    <col min="5" max="5" width="9.42578125" customWidth="1"/>
  </cols>
  <sheetData>
    <row r="1" spans="1:4" ht="12.75" customHeight="1" x14ac:dyDescent="0.2">
      <c r="A1" s="261" t="str">
        <f>"Capitalization Table"</f>
        <v>Capitalization Table</v>
      </c>
      <c r="B1" s="261"/>
      <c r="C1" s="261"/>
      <c r="D1" s="261"/>
    </row>
    <row r="2" spans="1:4" ht="12.75" customHeight="1" x14ac:dyDescent="0.2">
      <c r="A2" s="261" t="str">
        <f>Inputs!B8</f>
        <v>ABC Corp.</v>
      </c>
      <c r="B2" s="261"/>
      <c r="C2" s="261"/>
      <c r="D2" s="261"/>
    </row>
    <row r="3" spans="1:4" ht="12.75" customHeight="1" x14ac:dyDescent="0.2">
      <c r="A3" s="261" t="str">
        <f>IF("Prices"="(Default Input)","Ignore this sheet in normal use.","Investment Scenario "&amp;1&amp;", Valuation Scenario "&amp;1)</f>
        <v>Investment Scenario 1, Valuation Scenario 1</v>
      </c>
      <c r="B3" s="261"/>
      <c r="C3" s="261"/>
      <c r="D3" s="261"/>
    </row>
    <row r="4" spans="1:4" ht="12.75" customHeight="1" x14ac:dyDescent="0.2">
      <c r="A4" s="261" t="str">
        <f>"Preferred Shares"</f>
        <v>Preferred Shares</v>
      </c>
      <c r="B4" s="261"/>
      <c r="C4" s="261"/>
      <c r="D4" s="261"/>
    </row>
    <row r="5" spans="1:4" ht="12.75" customHeight="1" x14ac:dyDescent="0.2">
      <c r="A5" s="261" t="str">
        <f>""</f>
        <v/>
      </c>
      <c r="B5" s="261"/>
      <c r="C5" s="261"/>
      <c r="D5" s="261"/>
    </row>
    <row r="6" spans="1:4" ht="12.75" customHeight="1" x14ac:dyDescent="0.2">
      <c r="B6" s="6" t="str">
        <f>Labels!B98</f>
        <v>Seed</v>
      </c>
      <c r="C6" s="7" t="str">
        <f>Labels!B99</f>
        <v>Round A</v>
      </c>
      <c r="D6" s="8" t="str">
        <f>Labels!B100</f>
        <v>Exit</v>
      </c>
    </row>
    <row r="7" spans="1:4" ht="12.75" customHeight="1" x14ac:dyDescent="0.2">
      <c r="A7" s="4" t="str">
        <f>Labels!B20</f>
        <v>Event Date</v>
      </c>
      <c r="B7" s="94">
        <f>Investment!B209</f>
        <v>40391</v>
      </c>
      <c r="C7" s="94">
        <f>Investment!C209</f>
        <v>40725</v>
      </c>
      <c r="D7" s="95">
        <f>Investment!D209</f>
        <v>41061</v>
      </c>
    </row>
    <row r="9" spans="1:4" ht="12.75" customHeight="1" x14ac:dyDescent="0.2">
      <c r="A9" s="262" t="str">
        <f>"Prices - New Securities"</f>
        <v>Prices - New Securities</v>
      </c>
      <c r="B9" s="262"/>
      <c r="C9" s="262"/>
    </row>
    <row r="10" spans="1:4" ht="12.75" customHeight="1" x14ac:dyDescent="0.2">
      <c r="A10" s="1" t="str">
        <f>" "</f>
        <v xml:space="preserve"> </v>
      </c>
    </row>
    <row r="11" spans="1:4" ht="12.75" customHeight="1" x14ac:dyDescent="0.2">
      <c r="B11" s="6" t="str">
        <f>Labels!B98</f>
        <v>Seed</v>
      </c>
      <c r="C11" s="7" t="str">
        <f>Labels!B99</f>
        <v>Round A</v>
      </c>
      <c r="D11" s="8" t="str">
        <f>Labels!B100</f>
        <v>Exit</v>
      </c>
    </row>
    <row r="12" spans="1:4" ht="12.75" customHeight="1" x14ac:dyDescent="0.2">
      <c r="A12" s="11" t="str">
        <f>Labels!B68</f>
        <v>Price New Unit</v>
      </c>
      <c r="B12" s="51"/>
      <c r="C12" s="51"/>
      <c r="D12" s="52"/>
    </row>
    <row r="13" spans="1:4" ht="12.75" customHeight="1" x14ac:dyDescent="0.2">
      <c r="A13" s="28" t="str">
        <f>"   "&amp;Labels!B103</f>
        <v xml:space="preserve">   Conv Note</v>
      </c>
      <c r="B13" s="126"/>
      <c r="C13" s="126"/>
      <c r="D13" s="127"/>
    </row>
    <row r="14" spans="1:4" ht="12.75" customHeight="1" x14ac:dyDescent="0.2">
      <c r="A14" s="89" t="str">
        <f>"      "&amp;Labels!B104</f>
        <v xml:space="preserve">      Series B</v>
      </c>
      <c r="B14" s="53">
        <f>'(Other Variables)'!B19</f>
        <v>0</v>
      </c>
      <c r="C14" s="53">
        <f>'(Other Variables)'!C19</f>
        <v>0</v>
      </c>
      <c r="D14" s="54">
        <f>'(Other Variables)'!D19</f>
        <v>0</v>
      </c>
    </row>
    <row r="15" spans="1:4" ht="12.75" customHeight="1" x14ac:dyDescent="0.2">
      <c r="A15" s="89" t="str">
        <f>"      "&amp;Labels!B105</f>
        <v xml:space="preserve">      Series A</v>
      </c>
      <c r="B15" s="53">
        <f>'(Other Variables)'!B20</f>
        <v>0</v>
      </c>
      <c r="C15" s="53">
        <f>'(Other Variables)'!C20</f>
        <v>0</v>
      </c>
      <c r="D15" s="54">
        <f>'(Other Variables)'!D20</f>
        <v>0</v>
      </c>
    </row>
    <row r="16" spans="1:4" ht="12.75" customHeight="1" x14ac:dyDescent="0.2">
      <c r="A16" s="28" t="str">
        <f>"   "&amp;Labels!B106</f>
        <v xml:space="preserve">   Preferred</v>
      </c>
      <c r="B16" s="126"/>
      <c r="C16" s="126"/>
      <c r="D16" s="127"/>
    </row>
    <row r="17" spans="1:5" ht="12.75" customHeight="1" x14ac:dyDescent="0.2">
      <c r="A17" s="89" t="str">
        <f>"      "&amp;Labels!B107</f>
        <v xml:space="preserve">      Series A</v>
      </c>
      <c r="B17" s="53">
        <f>'(Other Variables)'!B23</f>
        <v>1.1000000000000001</v>
      </c>
      <c r="C17" s="53">
        <f>'(Other Variables)'!C23</f>
        <v>1100000</v>
      </c>
      <c r="D17" s="54">
        <f>'(Other Variables)'!D23</f>
        <v>1100000</v>
      </c>
    </row>
    <row r="18" spans="1:5" ht="12.75" customHeight="1" x14ac:dyDescent="0.2">
      <c r="A18" s="28" t="str">
        <f>"   "&amp;Labels!B108</f>
        <v xml:space="preserve">   Common</v>
      </c>
      <c r="B18" s="128">
        <f>'(Other Variables)'!B25</f>
        <v>1</v>
      </c>
      <c r="C18" s="128">
        <f>'(Other Variables)'!C25</f>
        <v>1000000</v>
      </c>
      <c r="D18" s="129">
        <f>'(Other Variables)'!D25</f>
        <v>1000000</v>
      </c>
    </row>
    <row r="19" spans="1:5" ht="12.75" customHeight="1" x14ac:dyDescent="0.2">
      <c r="A19" s="28" t="str">
        <f>"   "&amp;Labels!B109</f>
        <v xml:space="preserve">   Warrant</v>
      </c>
      <c r="B19" s="128">
        <f>MAX(0,Boneyard!D26*B18+Boneyard!D26*(-'(Other Variables)'!B12))</f>
        <v>1</v>
      </c>
      <c r="C19" s="128">
        <f>MAX(0,Boneyard!D26*C18+Boneyard!D26*(-'(Other Variables)'!B12))</f>
        <v>1000000</v>
      </c>
      <c r="D19" s="129">
        <f>MAX(0,Boneyard!D26*D18+Boneyard!D26*(-'(Other Variables)'!B12))</f>
        <v>1000000</v>
      </c>
    </row>
    <row r="20" spans="1:5" ht="12.75" customHeight="1" x14ac:dyDescent="0.2">
      <c r="A20" s="28" t="str">
        <f>"   "&amp;Labels!B110</f>
        <v xml:space="preserve">   Option</v>
      </c>
      <c r="B20" s="126"/>
      <c r="C20" s="126"/>
      <c r="D20" s="127"/>
    </row>
    <row r="21" spans="1:5" ht="12.75" customHeight="1" x14ac:dyDescent="0.2">
      <c r="A21" s="89" t="str">
        <f>"      "&amp;Labels!B111</f>
        <v xml:space="preserve">      Series B</v>
      </c>
      <c r="B21" s="130">
        <f>Inputs!B96</f>
        <v>1</v>
      </c>
      <c r="C21" s="130">
        <f>Inputs!C96</f>
        <v>1000000</v>
      </c>
      <c r="D21" s="131">
        <f>Inputs!D96</f>
        <v>1000000</v>
      </c>
    </row>
    <row r="22" spans="1:5" ht="12.75" customHeight="1" x14ac:dyDescent="0.2">
      <c r="A22" s="101" t="str">
        <f>"      "&amp;Labels!B112</f>
        <v xml:space="preserve">      Series A</v>
      </c>
      <c r="B22" s="132">
        <f>Inputs!B97</f>
        <v>1</v>
      </c>
      <c r="C22" s="132">
        <f>Inputs!C97</f>
        <v>1000000</v>
      </c>
      <c r="D22" s="133">
        <f>Inputs!D97</f>
        <v>1000000</v>
      </c>
    </row>
    <row r="25" spans="1:5" ht="12.75" customHeight="1" x14ac:dyDescent="0.2">
      <c r="A25" s="262" t="str">
        <f>"Conversion and Exercise Prices"</f>
        <v>Conversion and Exercise Prices</v>
      </c>
      <c r="B25" s="262"/>
      <c r="C25" s="262"/>
    </row>
    <row r="26" spans="1:5" ht="12.75" customHeight="1" x14ac:dyDescent="0.2">
      <c r="A26" s="1" t="str">
        <f>" "</f>
        <v xml:space="preserve"> </v>
      </c>
    </row>
    <row r="27" spans="1:5" ht="12.75" customHeight="1" x14ac:dyDescent="0.2">
      <c r="A27" s="263" t="str">
        <f>"Convertible Notes"</f>
        <v>Convertible Notes</v>
      </c>
      <c r="B27" s="263"/>
    </row>
    <row r="28" spans="1:5" ht="12.75" customHeight="1" x14ac:dyDescent="0.2">
      <c r="B28" s="6" t="str">
        <f>Labels!B98</f>
        <v>Seed</v>
      </c>
      <c r="C28" s="7" t="str">
        <f>Labels!B99</f>
        <v>Round A</v>
      </c>
      <c r="D28" s="7" t="str">
        <f>Labels!B100</f>
        <v>Exit</v>
      </c>
      <c r="E28" s="25" t="str">
        <f>Labels!C97</f>
        <v>Total</v>
      </c>
    </row>
    <row r="29" spans="1:5" ht="12.75" customHeight="1" x14ac:dyDescent="0.2">
      <c r="A29" s="11" t="str">
        <f>Labels!B67</f>
        <v>Conversion Price</v>
      </c>
      <c r="B29" s="51"/>
      <c r="C29" s="51"/>
      <c r="D29" s="51"/>
      <c r="E29" s="134"/>
    </row>
    <row r="30" spans="1:5" ht="12.75" customHeight="1" x14ac:dyDescent="0.2">
      <c r="A30" s="28" t="str">
        <f>"   "&amp;Labels!B104</f>
        <v xml:space="preserve">   Series B</v>
      </c>
      <c r="B30" s="126">
        <f>MAX(0,'(Other Variables)'!B181*1+'(Other Variables)'!B181*(-Inputs!B23))</f>
        <v>700000.7</v>
      </c>
      <c r="C30" s="126">
        <f>MAX(0,'(Other Variables)'!C181*1+'(Other Variables)'!C181*(-Inputs!B23))</f>
        <v>700000</v>
      </c>
      <c r="D30" s="126">
        <f>MAX(0,'(Other Variables)'!D181*1+'(Other Variables)'!D181*(-Inputs!B23))</f>
        <v>700000</v>
      </c>
      <c r="E30" s="135">
        <f>D30</f>
        <v>700000</v>
      </c>
    </row>
    <row r="31" spans="1:5" ht="12.75" customHeight="1" x14ac:dyDescent="0.2">
      <c r="A31" s="28" t="str">
        <f>"   "&amp;Labels!B105</f>
        <v xml:space="preserve">   Series A</v>
      </c>
      <c r="B31" s="126">
        <f>MAX(0,'(Other Variables)'!B181*1+'(Other Variables)'!B181*(-Inputs!B24))</f>
        <v>700000.7</v>
      </c>
      <c r="C31" s="126">
        <f>MAX(0,'(Other Variables)'!C181*1+'(Other Variables)'!C181*(-Inputs!B24))</f>
        <v>700000</v>
      </c>
      <c r="D31" s="126">
        <f>MAX(0,'(Other Variables)'!D181*1+'(Other Variables)'!D181*(-Inputs!B24))</f>
        <v>700000</v>
      </c>
      <c r="E31" s="135">
        <f>D31</f>
        <v>700000</v>
      </c>
    </row>
    <row r="32" spans="1:5" ht="12.75" customHeight="1" x14ac:dyDescent="0.2">
      <c r="A32" s="15" t="str">
        <f>"   "&amp;Labels!C103</f>
        <v xml:space="preserve">   Subtotal</v>
      </c>
      <c r="B32" s="58">
        <f>B31</f>
        <v>700000.7</v>
      </c>
      <c r="C32" s="58">
        <f>C31</f>
        <v>700000</v>
      </c>
      <c r="D32" s="58">
        <f>D31</f>
        <v>700000</v>
      </c>
      <c r="E32" s="136">
        <f>E31</f>
        <v>700000</v>
      </c>
    </row>
    <row r="34" spans="1:5" ht="12.75" customHeight="1" x14ac:dyDescent="0.2">
      <c r="A34" s="263" t="str">
        <f>"Preferred Stock"</f>
        <v>Preferred Stock</v>
      </c>
      <c r="B34" s="263"/>
    </row>
    <row r="35" spans="1:5" ht="12.75" customHeight="1" x14ac:dyDescent="0.2">
      <c r="A35" s="11" t="str">
        <f>Labels!B67</f>
        <v>Conversion Price</v>
      </c>
      <c r="B35" s="51"/>
      <c r="C35" s="51"/>
      <c r="D35" s="51"/>
      <c r="E35" s="134"/>
    </row>
    <row r="36" spans="1:5" ht="12.75" customHeight="1" x14ac:dyDescent="0.2">
      <c r="A36" s="28" t="str">
        <f>"   "&amp;Labels!B107</f>
        <v xml:space="preserve">   Series A</v>
      </c>
      <c r="B36" s="126">
        <f>MAX(0,'(Other Variables)'!B181)</f>
        <v>1000001</v>
      </c>
      <c r="C36" s="126">
        <f>MAX(0,'(Other Variables)'!C181)</f>
        <v>1000000</v>
      </c>
      <c r="D36" s="126">
        <f>MAX(0,'(Other Variables)'!D181)</f>
        <v>1000000</v>
      </c>
      <c r="E36" s="135">
        <f>D36</f>
        <v>1000000</v>
      </c>
    </row>
    <row r="37" spans="1:5" ht="12.75" customHeight="1" x14ac:dyDescent="0.2">
      <c r="A37" s="15" t="str">
        <f>"   "&amp;Labels!C106</f>
        <v xml:space="preserve">   Subtotal</v>
      </c>
      <c r="B37" s="58">
        <f>B36</f>
        <v>1000001</v>
      </c>
      <c r="C37" s="58">
        <f>C36</f>
        <v>1000000</v>
      </c>
      <c r="D37" s="58">
        <f>D36</f>
        <v>1000000</v>
      </c>
      <c r="E37" s="136">
        <f>E36</f>
        <v>1000000</v>
      </c>
    </row>
    <row r="39" spans="1:5" ht="12.75" customHeight="1" x14ac:dyDescent="0.2">
      <c r="A39" s="3" t="str">
        <f>"Warrants"</f>
        <v>Warrants</v>
      </c>
    </row>
    <row r="40" spans="1:5" ht="12.75" customHeight="1" x14ac:dyDescent="0.2">
      <c r="A40" s="4" t="str">
        <f>Labels!B67</f>
        <v>Conversion Price</v>
      </c>
      <c r="B40" s="137">
        <f>MAX(0,'(Other Variables)'!B181-'(Other Variables)'!B12)</f>
        <v>1000001</v>
      </c>
      <c r="C40" s="137">
        <f>MAX(0,'(Other Variables)'!C181-'(Other Variables)'!B12)</f>
        <v>1000000</v>
      </c>
      <c r="D40" s="137">
        <f>MAX(0,'(Other Variables)'!D181-'(Other Variables)'!B12)</f>
        <v>1000000</v>
      </c>
      <c r="E40" s="46">
        <f>D40</f>
        <v>1000000</v>
      </c>
    </row>
    <row r="42" spans="1:5" ht="12.75" customHeight="1" x14ac:dyDescent="0.2">
      <c r="A42" s="3" t="str">
        <f>"Options"</f>
        <v>Options</v>
      </c>
    </row>
    <row r="43" spans="1:5" ht="12.75" customHeight="1" x14ac:dyDescent="0.2">
      <c r="A43" s="11" t="str">
        <f>Labels!B67</f>
        <v>Conversion Price</v>
      </c>
      <c r="B43" s="51"/>
      <c r="C43" s="51"/>
      <c r="D43" s="51"/>
      <c r="E43" s="134"/>
    </row>
    <row r="44" spans="1:5" ht="12.75" customHeight="1" x14ac:dyDescent="0.2">
      <c r="A44" s="28" t="str">
        <f>"   "&amp;Labels!B111</f>
        <v xml:space="preserve">   Series B</v>
      </c>
      <c r="B44" s="126">
        <f>MAX(0,'(Other Variables)'!B181-Inputs!B101)</f>
        <v>1000001</v>
      </c>
      <c r="C44" s="126">
        <f>MAX(0,'(Other Variables)'!C181-Inputs!B101)</f>
        <v>1000000</v>
      </c>
      <c r="D44" s="126">
        <f>MAX(0,'(Other Variables)'!D181-Inputs!B101)</f>
        <v>1000000</v>
      </c>
      <c r="E44" s="135">
        <f>D44</f>
        <v>1000000</v>
      </c>
    </row>
    <row r="45" spans="1:5" ht="12.75" customHeight="1" x14ac:dyDescent="0.2">
      <c r="A45" s="28" t="str">
        <f>"   "&amp;Labels!B112</f>
        <v xml:space="preserve">   Series A</v>
      </c>
      <c r="B45" s="126">
        <f>MAX(0,'(Other Variables)'!B181-Inputs!B102)</f>
        <v>1000001</v>
      </c>
      <c r="C45" s="126">
        <f>MAX(0,'(Other Variables)'!C181-Inputs!B102)</f>
        <v>1000000</v>
      </c>
      <c r="D45" s="126">
        <f>MAX(0,'(Other Variables)'!D181-Inputs!B102)</f>
        <v>1000000</v>
      </c>
      <c r="E45" s="135">
        <f>D45</f>
        <v>1000000</v>
      </c>
    </row>
    <row r="46" spans="1:5" ht="12.75" customHeight="1" x14ac:dyDescent="0.2">
      <c r="A46" s="15" t="str">
        <f>"   "&amp;Labels!C110</f>
        <v xml:space="preserve">   Subtotal</v>
      </c>
      <c r="B46" s="58">
        <f>B45</f>
        <v>1000001</v>
      </c>
      <c r="C46" s="58">
        <f>C45</f>
        <v>1000000</v>
      </c>
      <c r="D46" s="58">
        <f>D45</f>
        <v>1000000</v>
      </c>
      <c r="E46" s="136">
        <f>E45</f>
        <v>1000000</v>
      </c>
    </row>
  </sheetData>
  <mergeCells count="9">
    <mergeCell ref="A25:C25"/>
    <mergeCell ref="A27:B27"/>
    <mergeCell ref="A34:B34"/>
    <mergeCell ref="A1:D1"/>
    <mergeCell ref="A2:D2"/>
    <mergeCell ref="A3:D3"/>
    <mergeCell ref="A4:D4"/>
    <mergeCell ref="A5:D5"/>
    <mergeCell ref="A9:C9"/>
  </mergeCells>
  <pageMargins left="0.25" right="0.25" top="0.5" bottom="0.5" header="0.5" footer="0.5"/>
  <pageSetup paperSize="9" fitToHeight="32767"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50"/>
  <sheetViews>
    <sheetView zoomScaleNormal="100" workbookViewId="0"/>
  </sheetViews>
  <sheetFormatPr defaultRowHeight="12.75" customHeight="1" x14ac:dyDescent="0.2"/>
  <cols>
    <col min="1" max="1" width="18.5703125" customWidth="1"/>
    <col min="2" max="4" width="9.5703125" customWidth="1"/>
    <col min="5" max="5" width="9.42578125"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IF("Options"="(Default Input)","Ignore this sheet in normal use.","Investment Scenario "&amp;1&amp;", Valuation Scenario "&amp;1)</f>
        <v>Investment Scenario 1, Valuation Scenario 1</v>
      </c>
      <c r="B3" s="261"/>
      <c r="C3" s="261"/>
      <c r="D3" s="261"/>
    </row>
    <row r="4" spans="1:5" ht="12.75" customHeight="1" x14ac:dyDescent="0.2">
      <c r="A4" s="261" t="str">
        <f>"Option Summary"</f>
        <v>Option Summary</v>
      </c>
      <c r="B4" s="261"/>
      <c r="C4" s="261"/>
      <c r="D4" s="261"/>
    </row>
    <row r="5" spans="1:5" ht="12.75" customHeight="1" x14ac:dyDescent="0.2">
      <c r="A5" s="261" t="str">
        <f>""</f>
        <v/>
      </c>
      <c r="B5" s="261"/>
      <c r="C5" s="261"/>
      <c r="D5" s="261"/>
    </row>
    <row r="6" spans="1:5" ht="12.75" customHeight="1" x14ac:dyDescent="0.2">
      <c r="B6" s="6" t="str">
        <f>Labels!B98</f>
        <v>Seed</v>
      </c>
      <c r="C6" s="7" t="str">
        <f>Labels!B99</f>
        <v>Round A</v>
      </c>
      <c r="D6" s="8" t="str">
        <f>Labels!B100</f>
        <v>Exit</v>
      </c>
    </row>
    <row r="7" spans="1:5" ht="12.75" customHeight="1" x14ac:dyDescent="0.2">
      <c r="A7" s="4" t="str">
        <f>Labels!B20</f>
        <v>Event Date</v>
      </c>
      <c r="B7" s="94">
        <f>Investment!B209</f>
        <v>40391</v>
      </c>
      <c r="C7" s="94">
        <f>Investment!C209</f>
        <v>40725</v>
      </c>
      <c r="D7" s="95">
        <f>Investment!D209</f>
        <v>41061</v>
      </c>
    </row>
    <row r="9" spans="1:5" ht="12.75" customHeight="1" x14ac:dyDescent="0.2">
      <c r="A9" s="2" t="str">
        <f>"Warrants"</f>
        <v>Warrants</v>
      </c>
    </row>
    <row r="10" spans="1:5" ht="12.75" customHeight="1" x14ac:dyDescent="0.2">
      <c r="A10" s="1" t="str">
        <f>" "</f>
        <v xml:space="preserve"> </v>
      </c>
    </row>
    <row r="11" spans="1:5" ht="12.75" customHeight="1" x14ac:dyDescent="0.2">
      <c r="B11" s="6" t="str">
        <f>Labels!B98</f>
        <v>Seed</v>
      </c>
      <c r="C11" s="7" t="str">
        <f>Labels!B99</f>
        <v>Round A</v>
      </c>
      <c r="D11" s="7" t="str">
        <f>Labels!B100</f>
        <v>Exit</v>
      </c>
      <c r="E11" s="25" t="str">
        <f>Labels!C97</f>
        <v>Total</v>
      </c>
    </row>
    <row r="12" spans="1:5" ht="12.75" customHeight="1" x14ac:dyDescent="0.2">
      <c r="A12" s="11" t="str">
        <f>Labels!B52</f>
        <v>Exercise Amt</v>
      </c>
      <c r="B12" s="26"/>
      <c r="C12" s="26"/>
      <c r="D12" s="26"/>
      <c r="E12" s="27"/>
    </row>
    <row r="13" spans="1:5" ht="12.75" customHeight="1" x14ac:dyDescent="0.2">
      <c r="A13" s="28" t="str">
        <f>"   "&amp;Labels!B91</f>
        <v xml:space="preserve">   Start</v>
      </c>
      <c r="B13" s="70">
        <f>0</f>
        <v>0</v>
      </c>
      <c r="C13" s="70">
        <f>B17</f>
        <v>0</v>
      </c>
      <c r="D13" s="70">
        <f>C17</f>
        <v>0</v>
      </c>
      <c r="E13" s="30">
        <f>SUM(B13:D13)</f>
        <v>0</v>
      </c>
    </row>
    <row r="14" spans="1:5" ht="12.75" customHeight="1" x14ac:dyDescent="0.2">
      <c r="A14" s="28" t="str">
        <f>"   "&amp;Labels!B92</f>
        <v xml:space="preserve">   New Sales</v>
      </c>
      <c r="B14" s="70">
        <f>'(Other Variables)'!B119*'(Other Variables)'!B12</f>
        <v>0</v>
      </c>
      <c r="C14" s="70">
        <f>'(Other Variables)'!C119*'(Other Variables)'!B12</f>
        <v>0</v>
      </c>
      <c r="D14" s="70">
        <f>'(Other Variables)'!D119*'(Other Variables)'!B12</f>
        <v>0</v>
      </c>
      <c r="E14" s="30">
        <f>SUM(B14:D14)</f>
        <v>0</v>
      </c>
    </row>
    <row r="15" spans="1:5" ht="12.75" customHeight="1" x14ac:dyDescent="0.2">
      <c r="A15" s="28" t="str">
        <f>"   "&amp;Labels!B93</f>
        <v xml:space="preserve">   Post Sales</v>
      </c>
      <c r="B15" s="70">
        <f>B13+B14</f>
        <v>0</v>
      </c>
      <c r="C15" s="70">
        <f>C13+C14</f>
        <v>0</v>
      </c>
      <c r="D15" s="70">
        <f>D13+D14</f>
        <v>0</v>
      </c>
      <c r="E15" s="30">
        <f>SUM(B15:D15)</f>
        <v>0</v>
      </c>
    </row>
    <row r="16" spans="1:5" ht="12.75" customHeight="1" x14ac:dyDescent="0.2">
      <c r="A16" s="28" t="str">
        <f>"   "&amp;Labels!B94</f>
        <v xml:space="preserve">   Convert</v>
      </c>
      <c r="B16" s="70">
        <f>Conversion!B33*B15</f>
        <v>0</v>
      </c>
      <c r="C16" s="70">
        <f>Conversion!C33*C15</f>
        <v>0</v>
      </c>
      <c r="D16" s="70">
        <f>Conversion!D33*D15</f>
        <v>0</v>
      </c>
      <c r="E16" s="30">
        <f>SUM(B16:D16)</f>
        <v>0</v>
      </c>
    </row>
    <row r="17" spans="1:5" ht="12.75" customHeight="1" x14ac:dyDescent="0.2">
      <c r="A17" s="28" t="str">
        <f>"   "&amp;Labels!B95</f>
        <v xml:space="preserve">   End</v>
      </c>
      <c r="B17" s="70">
        <f>B15-B16</f>
        <v>0</v>
      </c>
      <c r="C17" s="70">
        <f>C15-C16</f>
        <v>0</v>
      </c>
      <c r="D17" s="70">
        <f>D15-D16</f>
        <v>0</v>
      </c>
      <c r="E17" s="30">
        <f>SUM(B17:D17)</f>
        <v>0</v>
      </c>
    </row>
    <row r="18" spans="1:5" ht="12.75" customHeight="1" x14ac:dyDescent="0.2">
      <c r="A18" s="4"/>
      <c r="B18" s="92"/>
      <c r="C18" s="92"/>
      <c r="D18" s="92"/>
      <c r="E18" s="4"/>
    </row>
    <row r="19" spans="1:5" ht="12.75" customHeight="1" x14ac:dyDescent="0.2">
      <c r="A19" s="15" t="str">
        <f>Labels!B54</f>
        <v>Units 'in the Money'</v>
      </c>
      <c r="B19" s="64">
        <f>IF('(Other Variables)'!B181&lt;='(Other Variables)'!B12,0,Shares!B37)</f>
        <v>0</v>
      </c>
      <c r="C19" s="64">
        <f>IF('(Other Variables)'!C181&lt;='(Other Variables)'!B12,0,Shares!C37)</f>
        <v>0</v>
      </c>
      <c r="D19" s="64">
        <f>IF('(Other Variables)'!D181&lt;='(Other Variables)'!B12,0,Shares!D37)</f>
        <v>0</v>
      </c>
      <c r="E19" s="65">
        <f>SUM(B19:D19)</f>
        <v>0</v>
      </c>
    </row>
    <row r="22" spans="1:5" ht="12.75" customHeight="1" x14ac:dyDescent="0.2">
      <c r="A22" s="2" t="str">
        <f>"Options"</f>
        <v>Options</v>
      </c>
    </row>
    <row r="23" spans="1:5" ht="12.75" customHeight="1" x14ac:dyDescent="0.2">
      <c r="A23" s="1" t="str">
        <f>" "</f>
        <v xml:space="preserve"> </v>
      </c>
    </row>
    <row r="24" spans="1:5" ht="12.75" customHeight="1" x14ac:dyDescent="0.2">
      <c r="B24" s="6" t="str">
        <f>Labels!B98</f>
        <v>Seed</v>
      </c>
      <c r="C24" s="7" t="str">
        <f>Labels!B99</f>
        <v>Round A</v>
      </c>
      <c r="D24" s="7" t="str">
        <f>Labels!B100</f>
        <v>Exit</v>
      </c>
      <c r="E24" s="25" t="str">
        <f>Labels!C97</f>
        <v>Total</v>
      </c>
    </row>
    <row r="25" spans="1:5" ht="12.75" customHeight="1" x14ac:dyDescent="0.2">
      <c r="A25" s="11" t="str">
        <f>Labels!B52</f>
        <v>Exercise Amt</v>
      </c>
      <c r="B25" s="26"/>
      <c r="C25" s="26"/>
      <c r="D25" s="26"/>
      <c r="E25" s="27"/>
    </row>
    <row r="26" spans="1:5" ht="12.75" customHeight="1" x14ac:dyDescent="0.2">
      <c r="A26" s="28" t="str">
        <f>"   "&amp;Labels!B91</f>
        <v xml:space="preserve">   Start</v>
      </c>
      <c r="B26" s="70"/>
      <c r="C26" s="70"/>
      <c r="D26" s="70"/>
      <c r="E26" s="30"/>
    </row>
    <row r="27" spans="1:5" ht="12.75" customHeight="1" x14ac:dyDescent="0.2">
      <c r="A27" s="89" t="str">
        <f>"      "&amp;Labels!B111</f>
        <v xml:space="preserve">      Series B</v>
      </c>
      <c r="B27" s="91">
        <f>0</f>
        <v>0</v>
      </c>
      <c r="C27" s="91">
        <f>B43</f>
        <v>0</v>
      </c>
      <c r="D27" s="91">
        <f>C43</f>
        <v>0</v>
      </c>
      <c r="E27" s="30">
        <f>SUM(B27:D27)</f>
        <v>0</v>
      </c>
    </row>
    <row r="28" spans="1:5" ht="12.75" customHeight="1" x14ac:dyDescent="0.2">
      <c r="A28" s="89" t="str">
        <f>"      "&amp;Labels!B112</f>
        <v xml:space="preserve">      Series A</v>
      </c>
      <c r="B28" s="91">
        <f>0</f>
        <v>0</v>
      </c>
      <c r="C28" s="91">
        <f>B44</f>
        <v>0</v>
      </c>
      <c r="D28" s="91">
        <f>C44</f>
        <v>0</v>
      </c>
      <c r="E28" s="30">
        <f>SUM(B28:D28)</f>
        <v>0</v>
      </c>
    </row>
    <row r="29" spans="1:5" ht="12.75" customHeight="1" x14ac:dyDescent="0.2">
      <c r="A29" s="28" t="str">
        <f>"      "&amp;Labels!C110</f>
        <v xml:space="preserve">      Subtotal</v>
      </c>
      <c r="B29" s="70">
        <f>SUM(B27:B28)</f>
        <v>0</v>
      </c>
      <c r="C29" s="70">
        <f>SUM(C27:C28)</f>
        <v>0</v>
      </c>
      <c r="D29" s="70">
        <f>SUM(D27:D28)</f>
        <v>0</v>
      </c>
      <c r="E29" s="30">
        <f>SUM(E27:E28)</f>
        <v>0</v>
      </c>
    </row>
    <row r="30" spans="1:5" ht="12.75" customHeight="1" x14ac:dyDescent="0.2">
      <c r="A30" s="28" t="str">
        <f>"   "&amp;Labels!B92</f>
        <v xml:space="preserve">   New Sales</v>
      </c>
      <c r="B30" s="70"/>
      <c r="C30" s="70"/>
      <c r="D30" s="70"/>
      <c r="E30" s="30"/>
    </row>
    <row r="31" spans="1:5" ht="12.75" customHeight="1" x14ac:dyDescent="0.2">
      <c r="A31" s="89" t="str">
        <f>"      "&amp;Labels!B111</f>
        <v xml:space="preserve">      Series B</v>
      </c>
      <c r="B31" s="91">
        <f>'(Other Variables)'!B121*Inputs!B101</f>
        <v>0</v>
      </c>
      <c r="C31" s="91">
        <f>'(Other Variables)'!C121*Inputs!B101</f>
        <v>0</v>
      </c>
      <c r="D31" s="91">
        <f>'(Other Variables)'!D121*Inputs!B101</f>
        <v>0</v>
      </c>
      <c r="E31" s="30">
        <f>SUM(B31:D31)</f>
        <v>0</v>
      </c>
    </row>
    <row r="32" spans="1:5" ht="12.75" customHeight="1" x14ac:dyDescent="0.2">
      <c r="A32" s="89" t="str">
        <f>"      "&amp;Labels!B112</f>
        <v xml:space="preserve">      Series A</v>
      </c>
      <c r="B32" s="91">
        <f>'(Other Variables)'!B122*Inputs!B102</f>
        <v>0</v>
      </c>
      <c r="C32" s="91">
        <f>'(Other Variables)'!C122*Inputs!B102</f>
        <v>0</v>
      </c>
      <c r="D32" s="91">
        <f>'(Other Variables)'!D122*Inputs!B102</f>
        <v>0</v>
      </c>
      <c r="E32" s="30">
        <f>SUM(B32:D32)</f>
        <v>0</v>
      </c>
    </row>
    <row r="33" spans="1:5" ht="12.75" customHeight="1" x14ac:dyDescent="0.2">
      <c r="A33" s="28" t="str">
        <f>"      "&amp;Labels!C110</f>
        <v xml:space="preserve">      Subtotal</v>
      </c>
      <c r="B33" s="70">
        <f>SUM(B31:B32)</f>
        <v>0</v>
      </c>
      <c r="C33" s="70">
        <f>SUM(C31:C32)</f>
        <v>0</v>
      </c>
      <c r="D33" s="70">
        <f>SUM(D31:D32)</f>
        <v>0</v>
      </c>
      <c r="E33" s="30">
        <f>SUM(E31:E32)</f>
        <v>0</v>
      </c>
    </row>
    <row r="34" spans="1:5" ht="12.75" customHeight="1" x14ac:dyDescent="0.2">
      <c r="A34" s="28" t="str">
        <f>"   "&amp;Labels!B93</f>
        <v xml:space="preserve">   Post Sales</v>
      </c>
      <c r="B34" s="70"/>
      <c r="C34" s="70"/>
      <c r="D34" s="70"/>
      <c r="E34" s="30"/>
    </row>
    <row r="35" spans="1:5" ht="12.75" customHeight="1" x14ac:dyDescent="0.2">
      <c r="A35" s="89" t="str">
        <f>"      "&amp;Labels!B111</f>
        <v xml:space="preserve">      Series B</v>
      </c>
      <c r="B35" s="91">
        <f t="shared" ref="B35:D36" si="0">B27+B31</f>
        <v>0</v>
      </c>
      <c r="C35" s="91">
        <f t="shared" si="0"/>
        <v>0</v>
      </c>
      <c r="D35" s="91">
        <f t="shared" si="0"/>
        <v>0</v>
      </c>
      <c r="E35" s="30">
        <f>SUM(B35:D35)</f>
        <v>0</v>
      </c>
    </row>
    <row r="36" spans="1:5" ht="12.75" customHeight="1" x14ac:dyDescent="0.2">
      <c r="A36" s="89" t="str">
        <f>"      "&amp;Labels!B112</f>
        <v xml:space="preserve">      Series A</v>
      </c>
      <c r="B36" s="91">
        <f t="shared" si="0"/>
        <v>0</v>
      </c>
      <c r="C36" s="91">
        <f t="shared" si="0"/>
        <v>0</v>
      </c>
      <c r="D36" s="91">
        <f t="shared" si="0"/>
        <v>0</v>
      </c>
      <c r="E36" s="30">
        <f>SUM(B36:D36)</f>
        <v>0</v>
      </c>
    </row>
    <row r="37" spans="1:5" ht="12.75" customHeight="1" x14ac:dyDescent="0.2">
      <c r="A37" s="28" t="str">
        <f>"      "&amp;Labels!C110</f>
        <v xml:space="preserve">      Subtotal</v>
      </c>
      <c r="B37" s="70">
        <f>SUM(B35:B36)</f>
        <v>0</v>
      </c>
      <c r="C37" s="70">
        <f>SUM(C35:C36)</f>
        <v>0</v>
      </c>
      <c r="D37" s="70">
        <f>SUM(D35:D36)</f>
        <v>0</v>
      </c>
      <c r="E37" s="30">
        <f>SUM(E35:E36)</f>
        <v>0</v>
      </c>
    </row>
    <row r="38" spans="1:5" ht="12.75" customHeight="1" x14ac:dyDescent="0.2">
      <c r="A38" s="28" t="str">
        <f>"   "&amp;Labels!B94</f>
        <v xml:space="preserve">   Convert</v>
      </c>
      <c r="B38" s="70"/>
      <c r="C38" s="70"/>
      <c r="D38" s="70"/>
      <c r="E38" s="30"/>
    </row>
    <row r="39" spans="1:5" ht="12.75" customHeight="1" x14ac:dyDescent="0.2">
      <c r="A39" s="89" t="str">
        <f>"      "&amp;Labels!B111</f>
        <v xml:space="preserve">      Series B</v>
      </c>
      <c r="B39" s="91">
        <f>Conversion!B35*B35</f>
        <v>0</v>
      </c>
      <c r="C39" s="91">
        <f>Conversion!C35*C35</f>
        <v>0</v>
      </c>
      <c r="D39" s="91">
        <f>Conversion!D35*D35</f>
        <v>0</v>
      </c>
      <c r="E39" s="30">
        <f>SUM(B39:D39)</f>
        <v>0</v>
      </c>
    </row>
    <row r="40" spans="1:5" ht="12.75" customHeight="1" x14ac:dyDescent="0.2">
      <c r="A40" s="89" t="str">
        <f>"      "&amp;Labels!B112</f>
        <v xml:space="preserve">      Series A</v>
      </c>
      <c r="B40" s="91">
        <f>Conversion!B36*B36</f>
        <v>0</v>
      </c>
      <c r="C40" s="91">
        <f>Conversion!C36*C36</f>
        <v>0</v>
      </c>
      <c r="D40" s="91">
        <f>Conversion!D36*D36</f>
        <v>0</v>
      </c>
      <c r="E40" s="30">
        <f>SUM(B40:D40)</f>
        <v>0</v>
      </c>
    </row>
    <row r="41" spans="1:5" ht="12.75" customHeight="1" x14ac:dyDescent="0.2">
      <c r="A41" s="28" t="str">
        <f>"      "&amp;Labels!C110</f>
        <v xml:space="preserve">      Subtotal</v>
      </c>
      <c r="B41" s="70">
        <f>SUM(B39:B40)</f>
        <v>0</v>
      </c>
      <c r="C41" s="70">
        <f>SUM(C39:C40)</f>
        <v>0</v>
      </c>
      <c r="D41" s="70">
        <f>SUM(D39:D40)</f>
        <v>0</v>
      </c>
      <c r="E41" s="30">
        <f>SUM(E39:E40)</f>
        <v>0</v>
      </c>
    </row>
    <row r="42" spans="1:5" ht="12.75" customHeight="1" x14ac:dyDescent="0.2">
      <c r="A42" s="28" t="str">
        <f>"   "&amp;Labels!B95</f>
        <v xml:space="preserve">   End</v>
      </c>
      <c r="B42" s="70"/>
      <c r="C42" s="70"/>
      <c r="D42" s="70"/>
      <c r="E42" s="30"/>
    </row>
    <row r="43" spans="1:5" ht="12.75" customHeight="1" x14ac:dyDescent="0.2">
      <c r="A43" s="89" t="str">
        <f>"      "&amp;Labels!B111</f>
        <v xml:space="preserve">      Series B</v>
      </c>
      <c r="B43" s="91">
        <f t="shared" ref="B43:D44" si="1">B35-B39</f>
        <v>0</v>
      </c>
      <c r="C43" s="91">
        <f t="shared" si="1"/>
        <v>0</v>
      </c>
      <c r="D43" s="91">
        <f t="shared" si="1"/>
        <v>0</v>
      </c>
      <c r="E43" s="30">
        <f>SUM(B43:D43)</f>
        <v>0</v>
      </c>
    </row>
    <row r="44" spans="1:5" ht="12.75" customHeight="1" x14ac:dyDescent="0.2">
      <c r="A44" s="89" t="str">
        <f>"      "&amp;Labels!B112</f>
        <v xml:space="preserve">      Series A</v>
      </c>
      <c r="B44" s="91">
        <f t="shared" si="1"/>
        <v>0</v>
      </c>
      <c r="C44" s="91">
        <f t="shared" si="1"/>
        <v>0</v>
      </c>
      <c r="D44" s="91">
        <f t="shared" si="1"/>
        <v>0</v>
      </c>
      <c r="E44" s="30">
        <f>SUM(B44:D44)</f>
        <v>0</v>
      </c>
    </row>
    <row r="45" spans="1:5" ht="12.75" customHeight="1" x14ac:dyDescent="0.2">
      <c r="A45" s="28" t="str">
        <f>"      "&amp;Labels!C110</f>
        <v xml:space="preserve">      Subtotal</v>
      </c>
      <c r="B45" s="70">
        <f>SUM(B43:B44)</f>
        <v>0</v>
      </c>
      <c r="C45" s="70">
        <f>SUM(C43:C44)</f>
        <v>0</v>
      </c>
      <c r="D45" s="70">
        <f>SUM(D43:D44)</f>
        <v>0</v>
      </c>
      <c r="E45" s="30">
        <f>SUM(E43:E44)</f>
        <v>0</v>
      </c>
    </row>
    <row r="46" spans="1:5" ht="12.75" customHeight="1" x14ac:dyDescent="0.2">
      <c r="A46" s="4"/>
      <c r="B46" s="92"/>
      <c r="C46" s="92"/>
      <c r="D46" s="92"/>
      <c r="E46" s="4"/>
    </row>
    <row r="47" spans="1:5" ht="12.75" customHeight="1" x14ac:dyDescent="0.2">
      <c r="A47" s="73" t="str">
        <f>Labels!B54</f>
        <v>Units 'in the Money'</v>
      </c>
      <c r="B47" s="138"/>
      <c r="C47" s="138"/>
      <c r="D47" s="138"/>
      <c r="E47" s="63"/>
    </row>
    <row r="48" spans="1:5" ht="12.75" customHeight="1" x14ac:dyDescent="0.2">
      <c r="A48" s="28" t="str">
        <f>"   "&amp;Labels!B111</f>
        <v xml:space="preserve">   Series B</v>
      </c>
      <c r="B48" s="97">
        <f>IF('(Other Variables)'!B181&lt;=Inputs!B101,0,Shares!B39)</f>
        <v>0</v>
      </c>
      <c r="C48" s="97">
        <f>IF('(Other Variables)'!C181&lt;=Inputs!B101,0,Shares!C39)</f>
        <v>0</v>
      </c>
      <c r="D48" s="97">
        <f>IF('(Other Variables)'!D181&lt;=Inputs!B101,0,Shares!D39)</f>
        <v>0</v>
      </c>
      <c r="E48" s="63">
        <f>SUM(B48:D48)</f>
        <v>0</v>
      </c>
    </row>
    <row r="49" spans="1:5" ht="12.75" customHeight="1" x14ac:dyDescent="0.2">
      <c r="A49" s="28" t="str">
        <f>"   "&amp;Labels!B112</f>
        <v xml:space="preserve">   Series A</v>
      </c>
      <c r="B49" s="97">
        <f>IF('(Other Variables)'!B181&lt;=Inputs!B102,0,Shares!B40)</f>
        <v>0</v>
      </c>
      <c r="C49" s="97">
        <f>IF('(Other Variables)'!C181&lt;=Inputs!B102,0,Shares!C40)</f>
        <v>0</v>
      </c>
      <c r="D49" s="97">
        <f>IF('(Other Variables)'!D181&lt;=Inputs!B102,0,Shares!D40)</f>
        <v>0</v>
      </c>
      <c r="E49" s="63">
        <f>SUM(B49:D49)</f>
        <v>0</v>
      </c>
    </row>
    <row r="50" spans="1:5" ht="12.75" customHeight="1" x14ac:dyDescent="0.2">
      <c r="A50" s="15" t="str">
        <f>"   "&amp;Labels!C110</f>
        <v xml:space="preserve">   Subtotal</v>
      </c>
      <c r="B50" s="64">
        <f>SUM(B48:B49)</f>
        <v>0</v>
      </c>
      <c r="C50" s="64">
        <f>SUM(C48:C49)</f>
        <v>0</v>
      </c>
      <c r="D50" s="64">
        <f>SUM(D48:D49)</f>
        <v>0</v>
      </c>
      <c r="E50" s="65">
        <f>SUM(E48:E49)</f>
        <v>0</v>
      </c>
    </row>
  </sheetData>
  <mergeCells count="5">
    <mergeCell ref="A1:D1"/>
    <mergeCell ref="A2:D2"/>
    <mergeCell ref="A3:D3"/>
    <mergeCell ref="A4:D4"/>
    <mergeCell ref="A5:D5"/>
  </mergeCells>
  <pageMargins left="0.25" right="0.25" top="0.5" bottom="0.5" header="0.5" footer="0.5"/>
  <pageSetup paperSize="9" fitToHeight="32767"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22"/>
  <sheetViews>
    <sheetView zoomScaleNormal="100" workbookViewId="0"/>
  </sheetViews>
  <sheetFormatPr defaultRowHeight="12.75" customHeight="1" x14ac:dyDescent="0.2"/>
  <cols>
    <col min="1" max="1" width="19.5703125" customWidth="1"/>
    <col min="2" max="4" width="10.5703125" customWidth="1"/>
    <col min="5" max="5" width="9.42578125"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IF("Valuation"="(Default Input)","Ignore this sheet in normal use.","Investment Scenario "&amp;1&amp;", Valuation Scenario "&amp;1)</f>
        <v>Investment Scenario 1, Valuation Scenario 1</v>
      </c>
      <c r="B3" s="261"/>
      <c r="C3" s="261"/>
      <c r="D3" s="261"/>
    </row>
    <row r="4" spans="1:5" ht="12.75" customHeight="1" x14ac:dyDescent="0.2">
      <c r="A4" s="261" t="str">
        <f>"Valuation"</f>
        <v>Valuation</v>
      </c>
      <c r="B4" s="261"/>
      <c r="C4" s="261"/>
      <c r="D4" s="261"/>
    </row>
    <row r="5" spans="1:5" ht="12.75" customHeight="1" x14ac:dyDescent="0.2">
      <c r="A5" s="261" t="str">
        <f>""</f>
        <v/>
      </c>
      <c r="B5" s="261"/>
      <c r="C5" s="261"/>
      <c r="D5" s="261"/>
    </row>
    <row r="6" spans="1:5" ht="12.75" customHeight="1" x14ac:dyDescent="0.2">
      <c r="B6" s="6" t="str">
        <f>Labels!B98</f>
        <v>Seed</v>
      </c>
      <c r="C6" s="7" t="str">
        <f>Labels!B99</f>
        <v>Round A</v>
      </c>
      <c r="D6" s="8" t="str">
        <f>Labels!B100</f>
        <v>Exit</v>
      </c>
    </row>
    <row r="7" spans="1:5" ht="12.75" customHeight="1" x14ac:dyDescent="0.2">
      <c r="A7" s="4" t="str">
        <f>Labels!B20</f>
        <v>Event Date</v>
      </c>
      <c r="B7" s="139">
        <f>Investment!B209</f>
        <v>40391</v>
      </c>
      <c r="C7" s="139">
        <f>Investment!C209</f>
        <v>40725</v>
      </c>
      <c r="D7" s="140">
        <f>Investment!D209</f>
        <v>41061</v>
      </c>
    </row>
    <row r="9" spans="1:5" ht="12.75" customHeight="1" x14ac:dyDescent="0.2">
      <c r="A9" s="3" t="str">
        <f>"Start of Round"</f>
        <v>Start of Round</v>
      </c>
    </row>
    <row r="10" spans="1:5" ht="12.75" customHeight="1" x14ac:dyDescent="0.2">
      <c r="A10" s="4" t="str">
        <f>Labels!B22</f>
        <v>Firm Value</v>
      </c>
      <c r="B10" s="141">
        <f>'Plot Support'!B50</f>
        <v>1000000</v>
      </c>
      <c r="C10" s="141">
        <f>'Plot Support'!B51</f>
        <v>1000000</v>
      </c>
      <c r="D10" s="142">
        <f>'Plot Support'!B52</f>
        <v>1000000</v>
      </c>
    </row>
    <row r="12" spans="1:5" ht="12.75" customHeight="1" x14ac:dyDescent="0.2">
      <c r="A12" s="3" t="str">
        <f>"New Investment"</f>
        <v>New Investment</v>
      </c>
    </row>
    <row r="13" spans="1:5" ht="12.75" customHeight="1" x14ac:dyDescent="0.2">
      <c r="A13" s="4" t="str">
        <f>Labels!B42</f>
        <v>New Investment</v>
      </c>
      <c r="B13" s="141">
        <f>SUM('(Other Variables)'!B232,'(Other Variables)'!B235:B237,'(Other Variables)'!B241)</f>
        <v>1</v>
      </c>
      <c r="C13" s="141">
        <f>SUM('(Other Variables)'!C232,'(Other Variables)'!C235:C237,'(Other Variables)'!C241)</f>
        <v>0</v>
      </c>
      <c r="D13" s="141">
        <f>SUM('(Other Variables)'!D232,'(Other Variables)'!D235:D237,'(Other Variables)'!D241)</f>
        <v>0</v>
      </c>
      <c r="E13" s="47">
        <f>SUM('(Other Variables)'!E232,'(Other Variables)'!E235:E237,'(Other Variables)'!E241)</f>
        <v>1</v>
      </c>
    </row>
    <row r="15" spans="1:5" ht="12.75" customHeight="1" x14ac:dyDescent="0.2">
      <c r="A15" s="263" t="str">
        <f>"Exercise of Warrants"</f>
        <v>Exercise of Warrants</v>
      </c>
      <c r="B15" s="263"/>
    </row>
    <row r="16" spans="1:5" ht="12.75" customHeight="1" x14ac:dyDescent="0.2">
      <c r="A16" s="4" t="str">
        <f>Labels!B38</f>
        <v>Investment by Origin</v>
      </c>
      <c r="B16" s="141">
        <f>Investment!B105</f>
        <v>0</v>
      </c>
      <c r="C16" s="141">
        <f>Investment!C105</f>
        <v>0</v>
      </c>
      <c r="D16" s="141">
        <f>Investment!D105</f>
        <v>0</v>
      </c>
      <c r="E16" s="47">
        <f>SUM(B16:D16)</f>
        <v>0</v>
      </c>
    </row>
    <row r="18" spans="1:5" ht="12.75" customHeight="1" x14ac:dyDescent="0.2">
      <c r="A18" s="263" t="str">
        <f>"Exercise of Options"</f>
        <v>Exercise of Options</v>
      </c>
      <c r="B18" s="263"/>
    </row>
    <row r="19" spans="1:5" ht="12.75" customHeight="1" x14ac:dyDescent="0.2">
      <c r="A19" s="4" t="str">
        <f>Labels!B38</f>
        <v>Investment by Origin</v>
      </c>
      <c r="B19" s="141">
        <f>SUM(Investment!B107:B108)</f>
        <v>0</v>
      </c>
      <c r="C19" s="141">
        <f>SUM(Investment!C107:C108)</f>
        <v>0</v>
      </c>
      <c r="D19" s="141">
        <f>SUM(Investment!D107:D108)</f>
        <v>0</v>
      </c>
      <c r="E19" s="47">
        <f>SUM(Investment!E107:E108)</f>
        <v>0</v>
      </c>
    </row>
    <row r="21" spans="1:5" ht="12.75" customHeight="1" x14ac:dyDescent="0.2">
      <c r="A21" s="3" t="str">
        <f>"End of Round"</f>
        <v>End of Round</v>
      </c>
    </row>
    <row r="22" spans="1:5" ht="12.75" customHeight="1" x14ac:dyDescent="0.2">
      <c r="A22" s="4" t="str">
        <f>Labels!B22</f>
        <v>Firm Value</v>
      </c>
      <c r="B22" s="141">
        <f>'(Other Variables)'!B192+'(Other Variables)'!B193</f>
        <v>1000001</v>
      </c>
      <c r="C22" s="141">
        <f>'(Other Variables)'!C192+'(Other Variables)'!C193</f>
        <v>1000000</v>
      </c>
      <c r="D22" s="142">
        <f>'(Other Variables)'!D192+'(Other Variables)'!D193</f>
        <v>1000000</v>
      </c>
    </row>
  </sheetData>
  <mergeCells count="7">
    <mergeCell ref="A18:B18"/>
    <mergeCell ref="A1:D1"/>
    <mergeCell ref="A2:D2"/>
    <mergeCell ref="A3:D3"/>
    <mergeCell ref="A4:D4"/>
    <mergeCell ref="A5:D5"/>
    <mergeCell ref="A15:B15"/>
  </mergeCells>
  <pageMargins left="0.25" right="0.25" top="0.5" bottom="0.5" header="0.5" footer="0.5"/>
  <pageSetup paperSize="9" fitToHeight="32767" orientation="landscape"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85"/>
  <sheetViews>
    <sheetView zoomScaleNormal="100" workbookViewId="0"/>
  </sheetViews>
  <sheetFormatPr defaultRowHeight="12.75" customHeight="1" outlineLevelRow="1" x14ac:dyDescent="0.2"/>
  <cols>
    <col min="1" max="1" width="21.140625" customWidth="1"/>
    <col min="2" max="2" width="12.140625" customWidth="1"/>
    <col min="3" max="3" width="14" customWidth="1"/>
    <col min="4" max="4" width="9.5703125" customWidth="1"/>
    <col min="5" max="5" width="10"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IF("Payout"="(Default Input)","Ignore this sheet in normal use.","Investment Scenario "&amp;1&amp;", Valuation Scenario "&amp;1)</f>
        <v>Investment Scenario 1, Valuation Scenario 1</v>
      </c>
      <c r="B3" s="261"/>
      <c r="C3" s="261"/>
      <c r="D3" s="261"/>
    </row>
    <row r="4" spans="1:5" ht="12.75" customHeight="1" x14ac:dyDescent="0.2">
      <c r="A4" s="261" t="str">
        <f>"Payout"</f>
        <v>Payout</v>
      </c>
      <c r="B4" s="261"/>
      <c r="C4" s="261"/>
      <c r="D4" s="261"/>
    </row>
    <row r="5" spans="1:5" ht="12.75" customHeight="1" x14ac:dyDescent="0.2">
      <c r="A5" s="261" t="str">
        <f>""</f>
        <v/>
      </c>
      <c r="B5" s="261"/>
      <c r="C5" s="261"/>
      <c r="D5" s="261"/>
    </row>
    <row r="6" spans="1:5" ht="12.75" customHeight="1" x14ac:dyDescent="0.2">
      <c r="B6" s="6" t="str">
        <f>Labels!B64</f>
        <v>Payout Pool</v>
      </c>
      <c r="C6" s="7" t="str">
        <f>Labels!B49</f>
        <v>Liq Preference</v>
      </c>
      <c r="D6" s="7" t="str">
        <f>Labels!B61</f>
        <v>Payout</v>
      </c>
      <c r="E6" s="8" t="str">
        <f>Labels!B62</f>
        <v>Payout %</v>
      </c>
    </row>
    <row r="7" spans="1:5" ht="12.75" customHeight="1" x14ac:dyDescent="0.2">
      <c r="A7" s="11" t="str">
        <f>Labels!B103</f>
        <v>Conv Note</v>
      </c>
      <c r="B7" s="26"/>
      <c r="C7" s="26"/>
      <c r="D7" s="26"/>
      <c r="E7" s="106"/>
    </row>
    <row r="8" spans="1:5" ht="12.75" customHeight="1" x14ac:dyDescent="0.2">
      <c r="A8" s="28" t="str">
        <f>"   "&amp;Labels!B104</f>
        <v xml:space="preserve">   Series B</v>
      </c>
      <c r="B8" s="70">
        <f>D27</f>
        <v>1000000</v>
      </c>
      <c r="C8" s="70">
        <f>D75</f>
        <v>0</v>
      </c>
      <c r="D8" s="70">
        <f>D43</f>
        <v>0</v>
      </c>
      <c r="E8" s="107">
        <f>D59</f>
        <v>0</v>
      </c>
    </row>
    <row r="9" spans="1:5" ht="12.75" customHeight="1" x14ac:dyDescent="0.2">
      <c r="A9" s="28" t="str">
        <f>"   "&amp;Labels!B105</f>
        <v xml:space="preserve">   Series A</v>
      </c>
      <c r="B9" s="70">
        <f>D28</f>
        <v>1000000</v>
      </c>
      <c r="C9" s="70">
        <f>D76</f>
        <v>0</v>
      </c>
      <c r="D9" s="70">
        <f>D44</f>
        <v>0</v>
      </c>
      <c r="E9" s="107">
        <f>D60</f>
        <v>0</v>
      </c>
    </row>
    <row r="10" spans="1:5" ht="12.75" customHeight="1" x14ac:dyDescent="0.2">
      <c r="A10" s="73" t="str">
        <f>"   "&amp;Labels!C103</f>
        <v xml:space="preserve">   Subtotal</v>
      </c>
      <c r="B10" s="74" t="str">
        <f>""</f>
        <v/>
      </c>
      <c r="C10" s="74">
        <f>SUM(C8:C9)</f>
        <v>0</v>
      </c>
      <c r="D10" s="74">
        <f>D45</f>
        <v>0</v>
      </c>
      <c r="E10" s="143">
        <f>D61</f>
        <v>0</v>
      </c>
    </row>
    <row r="11" spans="1:5" ht="12.75" customHeight="1" x14ac:dyDescent="0.2">
      <c r="A11" s="73" t="str">
        <f>Labels!B106</f>
        <v>Preferred</v>
      </c>
      <c r="B11" s="74"/>
      <c r="C11" s="74"/>
      <c r="D11" s="74"/>
      <c r="E11" s="143"/>
    </row>
    <row r="12" spans="1:5" ht="12.75" customHeight="1" x14ac:dyDescent="0.2">
      <c r="A12" s="28" t="str">
        <f>"   "&amp;Labels!B107</f>
        <v xml:space="preserve">   Series A</v>
      </c>
      <c r="B12" s="70">
        <f>D31</f>
        <v>1000000</v>
      </c>
      <c r="C12" s="70">
        <f>D81</f>
        <v>0</v>
      </c>
      <c r="D12" s="70">
        <f>D47</f>
        <v>0</v>
      </c>
      <c r="E12" s="107">
        <f>D63</f>
        <v>0</v>
      </c>
    </row>
    <row r="13" spans="1:5" ht="12.75" customHeight="1" x14ac:dyDescent="0.2">
      <c r="A13" s="73" t="str">
        <f>"   "&amp;Labels!C106</f>
        <v xml:space="preserve">   Subtotal</v>
      </c>
      <c r="B13" s="74" t="str">
        <f>""</f>
        <v/>
      </c>
      <c r="C13" s="74">
        <f>C12</f>
        <v>0</v>
      </c>
      <c r="D13" s="74">
        <f>D48</f>
        <v>0</v>
      </c>
      <c r="E13" s="143">
        <f>D64</f>
        <v>0</v>
      </c>
    </row>
    <row r="14" spans="1:5" ht="12.75" customHeight="1" x14ac:dyDescent="0.2">
      <c r="A14" s="73" t="str">
        <f>Labels!B108</f>
        <v>Common</v>
      </c>
      <c r="B14" s="74">
        <f>D33</f>
        <v>1000000</v>
      </c>
      <c r="C14" s="74">
        <f>'(Other Variables)'!D204</f>
        <v>0</v>
      </c>
      <c r="D14" s="74">
        <f>D49</f>
        <v>1000000</v>
      </c>
      <c r="E14" s="143">
        <f>D65</f>
        <v>1</v>
      </c>
    </row>
    <row r="15" spans="1:5" ht="12.75" customHeight="1" x14ac:dyDescent="0.2">
      <c r="A15" s="73" t="str">
        <f>Labels!B109</f>
        <v>Warrant</v>
      </c>
      <c r="B15" s="74">
        <v>0</v>
      </c>
      <c r="C15" s="74">
        <f>'(Other Variables)'!D205</f>
        <v>0</v>
      </c>
      <c r="D15" s="74">
        <f>D50</f>
        <v>0</v>
      </c>
      <c r="E15" s="143">
        <f>D66</f>
        <v>0</v>
      </c>
    </row>
    <row r="16" spans="1:5" ht="12.75" customHeight="1" x14ac:dyDescent="0.2">
      <c r="A16" s="73" t="str">
        <f>Labels!B110</f>
        <v>Option</v>
      </c>
      <c r="B16" s="74"/>
      <c r="C16" s="74"/>
      <c r="D16" s="74"/>
      <c r="E16" s="143"/>
    </row>
    <row r="17" spans="1:5" ht="12.75" customHeight="1" x14ac:dyDescent="0.2">
      <c r="A17" s="28" t="str">
        <f>"   "&amp;Labels!B111</f>
        <v xml:space="preserve">   Series B</v>
      </c>
      <c r="B17" s="70">
        <f>0/2</f>
        <v>0</v>
      </c>
      <c r="C17" s="70">
        <f>'(Other Variables)'!D207</f>
        <v>0</v>
      </c>
      <c r="D17" s="70">
        <f>D52</f>
        <v>0</v>
      </c>
      <c r="E17" s="107">
        <f>D68</f>
        <v>0</v>
      </c>
    </row>
    <row r="18" spans="1:5" ht="12.75" customHeight="1" x14ac:dyDescent="0.2">
      <c r="A18" s="28" t="str">
        <f>"   "&amp;Labels!B112</f>
        <v xml:space="preserve">   Series A</v>
      </c>
      <c r="B18" s="70">
        <f>0/2</f>
        <v>0</v>
      </c>
      <c r="C18" s="70">
        <f>'(Other Variables)'!D208</f>
        <v>0</v>
      </c>
      <c r="D18" s="70">
        <f>D53</f>
        <v>0</v>
      </c>
      <c r="E18" s="107">
        <f>D69</f>
        <v>0</v>
      </c>
    </row>
    <row r="19" spans="1:5" ht="12.75" customHeight="1" x14ac:dyDescent="0.2">
      <c r="A19" s="73" t="str">
        <f>"   "&amp;Labels!C110</f>
        <v xml:space="preserve">   Subtotal</v>
      </c>
      <c r="B19" s="74" t="str">
        <f>""</f>
        <v/>
      </c>
      <c r="C19" s="74">
        <f>SUM(C17:C18)</f>
        <v>0</v>
      </c>
      <c r="D19" s="74">
        <f>D54</f>
        <v>0</v>
      </c>
      <c r="E19" s="143">
        <f>D70</f>
        <v>0</v>
      </c>
    </row>
    <row r="20" spans="1:5" ht="12.75" customHeight="1" x14ac:dyDescent="0.2">
      <c r="A20" s="4" t="str">
        <f>Labels!C102</f>
        <v>Total</v>
      </c>
      <c r="B20" s="77" t="str">
        <f>""</f>
        <v/>
      </c>
      <c r="C20" s="77">
        <f>SUM(C10,C13:C15,C19)</f>
        <v>0</v>
      </c>
      <c r="D20" s="77">
        <f>D55</f>
        <v>1000000</v>
      </c>
      <c r="E20" s="144">
        <f>D71</f>
        <v>1</v>
      </c>
    </row>
    <row r="22" spans="1:5" ht="12.75" customHeight="1" x14ac:dyDescent="0.2">
      <c r="A22" s="2" t="str">
        <f>"Payout Details"</f>
        <v>Payout Details</v>
      </c>
    </row>
    <row r="23" spans="1:5" ht="12.75" hidden="1" customHeight="1" outlineLevel="1" x14ac:dyDescent="0.2">
      <c r="A23" s="1" t="str">
        <f>" "</f>
        <v xml:space="preserve"> </v>
      </c>
    </row>
    <row r="24" spans="1:5" ht="12.75" hidden="1" customHeight="1" outlineLevel="1" x14ac:dyDescent="0.2">
      <c r="B24" s="6" t="str">
        <f>Labels!B98</f>
        <v>Seed</v>
      </c>
      <c r="C24" s="7" t="str">
        <f>Labels!B99</f>
        <v>Round A</v>
      </c>
      <c r="D24" s="7" t="str">
        <f>Labels!B100</f>
        <v>Exit</v>
      </c>
      <c r="E24" s="25" t="str">
        <f>Labels!C97</f>
        <v>Total</v>
      </c>
    </row>
    <row r="25" spans="1:5" ht="12.75" hidden="1" customHeight="1" outlineLevel="1" x14ac:dyDescent="0.2">
      <c r="A25" s="11" t="str">
        <f>Labels!B63</f>
        <v>Payout Pool</v>
      </c>
      <c r="B25" s="26"/>
      <c r="C25" s="26"/>
      <c r="D25" s="26"/>
      <c r="E25" s="27"/>
    </row>
    <row r="26" spans="1:5" ht="12.75" hidden="1" customHeight="1" outlineLevel="1" x14ac:dyDescent="0.2">
      <c r="A26" s="28" t="str">
        <f>"   "&amp;Labels!B103</f>
        <v xml:space="preserve">   Conv Note</v>
      </c>
      <c r="B26" s="70"/>
      <c r="C26" s="70"/>
      <c r="D26" s="70"/>
      <c r="E26" s="30"/>
    </row>
    <row r="27" spans="1:5" ht="12.75" hidden="1" customHeight="1" outlineLevel="1" x14ac:dyDescent="0.2">
      <c r="A27" s="89" t="str">
        <f>"      "&amp;Labels!B104</f>
        <v xml:space="preserve">      Series B</v>
      </c>
      <c r="B27" s="91">
        <f>'Plot Support'!B50+Investment!B241+'(Other Variables)'!B93</f>
        <v>1000001</v>
      </c>
      <c r="C27" s="91">
        <f>'Plot Support'!B51+Investment!C241+'(Other Variables)'!C93</f>
        <v>1000000</v>
      </c>
      <c r="D27" s="91">
        <f>'Plot Support'!B52+Investment!D241+'(Other Variables)'!D93</f>
        <v>1000000</v>
      </c>
      <c r="E27" s="30" t="str">
        <f>""</f>
        <v/>
      </c>
    </row>
    <row r="28" spans="1:5" ht="12.75" hidden="1" customHeight="1" outlineLevel="1" x14ac:dyDescent="0.2">
      <c r="A28" s="89" t="str">
        <f>"      "&amp;Labels!B105</f>
        <v xml:space="preserve">      Series A</v>
      </c>
      <c r="B28" s="91">
        <f>B27-B43</f>
        <v>1000001</v>
      </c>
      <c r="C28" s="91">
        <f>C27-C43</f>
        <v>1000000</v>
      </c>
      <c r="D28" s="91">
        <f>D27-D43</f>
        <v>1000000</v>
      </c>
      <c r="E28" s="30" t="str">
        <f>""</f>
        <v/>
      </c>
    </row>
    <row r="29" spans="1:5" ht="12.75" hidden="1" customHeight="1" outlineLevel="1" x14ac:dyDescent="0.2">
      <c r="A29" s="28" t="str">
        <f>"      "&amp;Labels!C103</f>
        <v xml:space="preserve">      Subtotal</v>
      </c>
      <c r="B29" s="70" t="str">
        <f>""</f>
        <v/>
      </c>
      <c r="C29" s="70" t="str">
        <f>""</f>
        <v/>
      </c>
      <c r="D29" s="70" t="str">
        <f>""</f>
        <v/>
      </c>
      <c r="E29" s="30" t="str">
        <f>""</f>
        <v/>
      </c>
    </row>
    <row r="30" spans="1:5" ht="12.75" hidden="1" customHeight="1" outlineLevel="1" x14ac:dyDescent="0.2">
      <c r="A30" s="28" t="str">
        <f>"   "&amp;Labels!B106</f>
        <v xml:space="preserve">   Preferred</v>
      </c>
      <c r="B30" s="70"/>
      <c r="C30" s="70"/>
      <c r="D30" s="70"/>
      <c r="E30" s="30"/>
    </row>
    <row r="31" spans="1:5" ht="12.75" hidden="1" customHeight="1" outlineLevel="1" x14ac:dyDescent="0.2">
      <c r="A31" s="89" t="str">
        <f>"      "&amp;Labels!B107</f>
        <v xml:space="preserve">      Series A</v>
      </c>
      <c r="B31" s="91">
        <f>B28-B44</f>
        <v>1000001</v>
      </c>
      <c r="C31" s="91">
        <f>C28-C44</f>
        <v>1000000</v>
      </c>
      <c r="D31" s="91">
        <f>D28-D44</f>
        <v>1000000</v>
      </c>
      <c r="E31" s="30" t="str">
        <f>""</f>
        <v/>
      </c>
    </row>
    <row r="32" spans="1:5" ht="12.75" hidden="1" customHeight="1" outlineLevel="1" x14ac:dyDescent="0.2">
      <c r="A32" s="28" t="str">
        <f>"      "&amp;Labels!C106</f>
        <v xml:space="preserve">      Subtotal</v>
      </c>
      <c r="B32" s="70" t="str">
        <f>""</f>
        <v/>
      </c>
      <c r="C32" s="70" t="str">
        <f>""</f>
        <v/>
      </c>
      <c r="D32" s="70" t="str">
        <f>""</f>
        <v/>
      </c>
      <c r="E32" s="30" t="str">
        <f>""</f>
        <v/>
      </c>
    </row>
    <row r="33" spans="1:5" ht="12.75" hidden="1" customHeight="1" outlineLevel="1" x14ac:dyDescent="0.2">
      <c r="A33" s="28" t="str">
        <f>"   "&amp;Labels!B108</f>
        <v xml:space="preserve">   Common</v>
      </c>
      <c r="B33" s="70">
        <f>B31-B47</f>
        <v>1000001</v>
      </c>
      <c r="C33" s="70">
        <f>C31-C47</f>
        <v>1000000</v>
      </c>
      <c r="D33" s="70">
        <f>D31-D47</f>
        <v>1000000</v>
      </c>
      <c r="E33" s="30" t="str">
        <f>""</f>
        <v/>
      </c>
    </row>
    <row r="34" spans="1:5" ht="12.75" hidden="1" customHeight="1" outlineLevel="1" x14ac:dyDescent="0.2">
      <c r="A34" s="28" t="str">
        <f>"   "&amp;Labels!B109</f>
        <v xml:space="preserve">   Warrant</v>
      </c>
      <c r="B34" s="70">
        <f>0/3</f>
        <v>0</v>
      </c>
      <c r="C34" s="70">
        <f>0/3</f>
        <v>0</v>
      </c>
      <c r="D34" s="70">
        <f>0/3</f>
        <v>0</v>
      </c>
      <c r="E34" s="30" t="str">
        <f>""</f>
        <v/>
      </c>
    </row>
    <row r="35" spans="1:5" ht="12.75" hidden="1" customHeight="1" outlineLevel="1" x14ac:dyDescent="0.2">
      <c r="A35" s="28" t="str">
        <f>"   "&amp;Labels!B110</f>
        <v xml:space="preserve">   Option</v>
      </c>
      <c r="B35" s="70"/>
      <c r="C35" s="70"/>
      <c r="D35" s="70"/>
      <c r="E35" s="30"/>
    </row>
    <row r="36" spans="1:5" ht="12.75" hidden="1" customHeight="1" outlineLevel="1" x14ac:dyDescent="0.2">
      <c r="A36" s="89" t="str">
        <f>"      "&amp;Labels!B111</f>
        <v xml:space="preserve">      Series B</v>
      </c>
      <c r="B36" s="91">
        <f t="shared" ref="B36:D37" si="0">0/3/2</f>
        <v>0</v>
      </c>
      <c r="C36" s="91">
        <f t="shared" si="0"/>
        <v>0</v>
      </c>
      <c r="D36" s="91">
        <f t="shared" si="0"/>
        <v>0</v>
      </c>
      <c r="E36" s="30" t="str">
        <f>""</f>
        <v/>
      </c>
    </row>
    <row r="37" spans="1:5" ht="12.75" hidden="1" customHeight="1" outlineLevel="1" x14ac:dyDescent="0.2">
      <c r="A37" s="89" t="str">
        <f>"      "&amp;Labels!B112</f>
        <v xml:space="preserve">      Series A</v>
      </c>
      <c r="B37" s="91">
        <f t="shared" si="0"/>
        <v>0</v>
      </c>
      <c r="C37" s="91">
        <f t="shared" si="0"/>
        <v>0</v>
      </c>
      <c r="D37" s="91">
        <f t="shared" si="0"/>
        <v>0</v>
      </c>
      <c r="E37" s="30" t="str">
        <f>""</f>
        <v/>
      </c>
    </row>
    <row r="38" spans="1:5" ht="12.75" hidden="1" customHeight="1" outlineLevel="1" x14ac:dyDescent="0.2">
      <c r="A38" s="28" t="str">
        <f>"      "&amp;Labels!C110</f>
        <v xml:space="preserve">      Subtotal</v>
      </c>
      <c r="B38" s="70" t="str">
        <f>""</f>
        <v/>
      </c>
      <c r="C38" s="70" t="str">
        <f>""</f>
        <v/>
      </c>
      <c r="D38" s="70" t="str">
        <f>""</f>
        <v/>
      </c>
      <c r="E38" s="30" t="str">
        <f>""</f>
        <v/>
      </c>
    </row>
    <row r="39" spans="1:5" ht="12.75" hidden="1" customHeight="1" outlineLevel="1" x14ac:dyDescent="0.2">
      <c r="A39" s="73" t="str">
        <f>"   "&amp;Labels!C102</f>
        <v xml:space="preserve">   Total</v>
      </c>
      <c r="B39" s="74" t="str">
        <f>""</f>
        <v/>
      </c>
      <c r="C39" s="74" t="str">
        <f>""</f>
        <v/>
      </c>
      <c r="D39" s="74" t="str">
        <f>""</f>
        <v/>
      </c>
      <c r="E39" s="30" t="str">
        <f>""</f>
        <v/>
      </c>
    </row>
    <row r="40" spans="1:5" ht="12.75" hidden="1" customHeight="1" outlineLevel="1" x14ac:dyDescent="0.2">
      <c r="A40" s="4"/>
      <c r="B40" s="92"/>
      <c r="C40" s="92"/>
      <c r="D40" s="92"/>
      <c r="E40" s="4"/>
    </row>
    <row r="41" spans="1:5" ht="12.75" hidden="1" customHeight="1" outlineLevel="1" x14ac:dyDescent="0.2">
      <c r="A41" s="73" t="str">
        <f>Labels!B59</f>
        <v>Payout</v>
      </c>
      <c r="B41" s="74"/>
      <c r="C41" s="74"/>
      <c r="D41" s="74"/>
      <c r="E41" s="30"/>
    </row>
    <row r="42" spans="1:5" ht="12.75" hidden="1" customHeight="1" outlineLevel="1" x14ac:dyDescent="0.2">
      <c r="A42" s="28" t="str">
        <f>"   "&amp;Labels!B103</f>
        <v xml:space="preserve">   Conv Note</v>
      </c>
      <c r="B42" s="70"/>
      <c r="C42" s="70"/>
      <c r="D42" s="70"/>
      <c r="E42" s="30"/>
    </row>
    <row r="43" spans="1:5" ht="12.75" hidden="1" customHeight="1" outlineLevel="1" x14ac:dyDescent="0.2">
      <c r="A43" s="89" t="str">
        <f>"      "&amp;Labels!B104</f>
        <v xml:space="preserve">      Series B</v>
      </c>
      <c r="B43" s="91">
        <f>MIN(B27,MAX(B75,Investment!B274/Prices!B30*'(Other Variables)'!B181))</f>
        <v>0</v>
      </c>
      <c r="C43" s="91">
        <f>MIN(C27,MAX(C75,Investment!C274/Prices!C30*'(Other Variables)'!C181))</f>
        <v>0</v>
      </c>
      <c r="D43" s="91">
        <f>MIN(D27,MAX(D75,Investment!D274/Prices!D30*'(Other Variables)'!D181))</f>
        <v>0</v>
      </c>
      <c r="E43" s="30" t="str">
        <f>""</f>
        <v/>
      </c>
    </row>
    <row r="44" spans="1:5" ht="12.75" hidden="1" customHeight="1" outlineLevel="1" x14ac:dyDescent="0.2">
      <c r="A44" s="89" t="str">
        <f>"      "&amp;Labels!B105</f>
        <v xml:space="preserve">      Series A</v>
      </c>
      <c r="B44" s="91">
        <f>MIN(B28,MAX(B76,Investment!B275/Prices!B31*'(Other Variables)'!B181))</f>
        <v>0</v>
      </c>
      <c r="C44" s="91">
        <f>MIN(C28,MAX(C76,Investment!C275/Prices!C31*'(Other Variables)'!C181))</f>
        <v>0</v>
      </c>
      <c r="D44" s="91">
        <f>MIN(D28,MAX(D76,Investment!D275/Prices!D31*'(Other Variables)'!D181))</f>
        <v>0</v>
      </c>
      <c r="E44" s="30" t="str">
        <f>""</f>
        <v/>
      </c>
    </row>
    <row r="45" spans="1:5" ht="12.75" hidden="1" customHeight="1" outlineLevel="1" x14ac:dyDescent="0.2">
      <c r="A45" s="28" t="str">
        <f>"      "&amp;Labels!C103</f>
        <v xml:space="preserve">      Subtotal</v>
      </c>
      <c r="B45" s="70">
        <f>SUM(B43:B44)</f>
        <v>0</v>
      </c>
      <c r="C45" s="70">
        <f>SUM(C43:C44)</f>
        <v>0</v>
      </c>
      <c r="D45" s="70">
        <f>SUM(D43:D44)</f>
        <v>0</v>
      </c>
      <c r="E45" s="30" t="str">
        <f>""</f>
        <v/>
      </c>
    </row>
    <row r="46" spans="1:5" ht="12.75" hidden="1" customHeight="1" outlineLevel="1" x14ac:dyDescent="0.2">
      <c r="A46" s="28" t="str">
        <f>"   "&amp;Labels!B106</f>
        <v xml:space="preserve">   Preferred</v>
      </c>
      <c r="B46" s="70"/>
      <c r="C46" s="70"/>
      <c r="D46" s="70"/>
      <c r="E46" s="30"/>
    </row>
    <row r="47" spans="1:5" ht="12.75" hidden="1" customHeight="1" outlineLevel="1" x14ac:dyDescent="0.2">
      <c r="A47" s="89" t="str">
        <f>"      "&amp;Labels!B107</f>
        <v xml:space="preserve">      Series A</v>
      </c>
      <c r="B47" s="91">
        <f>MIN(B31,MAX(B81,Shares!B34*'(Other Variables)'!B181))</f>
        <v>0</v>
      </c>
      <c r="C47" s="91">
        <f>MIN(C31,MAX(C81,Shares!C34*'(Other Variables)'!C181))</f>
        <v>0</v>
      </c>
      <c r="D47" s="91">
        <f>MIN(D31,MAX(D81,Shares!D34*'(Other Variables)'!D181))</f>
        <v>0</v>
      </c>
      <c r="E47" s="30" t="str">
        <f>""</f>
        <v/>
      </c>
    </row>
    <row r="48" spans="1:5" ht="12.75" hidden="1" customHeight="1" outlineLevel="1" x14ac:dyDescent="0.2">
      <c r="A48" s="28" t="str">
        <f>"      "&amp;Labels!C106</f>
        <v xml:space="preserve">      Subtotal</v>
      </c>
      <c r="B48" s="70">
        <f>SUM(B47)</f>
        <v>0</v>
      </c>
      <c r="C48" s="70">
        <f>SUM(C47)</f>
        <v>0</v>
      </c>
      <c r="D48" s="70">
        <f>SUM(D47)</f>
        <v>0</v>
      </c>
      <c r="E48" s="30" t="str">
        <f>""</f>
        <v/>
      </c>
    </row>
    <row r="49" spans="1:5" ht="12.75" hidden="1" customHeight="1" outlineLevel="1" x14ac:dyDescent="0.2">
      <c r="A49" s="28" t="str">
        <f>"   "&amp;Labels!B108</f>
        <v xml:space="preserve">   Common</v>
      </c>
      <c r="B49" s="70">
        <f>Shares!B36*B33/(Shares!B36+'(Other Variables)'!B302)</f>
        <v>1000001</v>
      </c>
      <c r="C49" s="70">
        <f>Shares!C36*C33/(Shares!C36+'(Other Variables)'!C302)</f>
        <v>1000000</v>
      </c>
      <c r="D49" s="70">
        <f>Shares!D36*D33/(Shares!D36+'(Other Variables)'!D302)</f>
        <v>1000000</v>
      </c>
      <c r="E49" s="30" t="str">
        <f>""</f>
        <v/>
      </c>
    </row>
    <row r="50" spans="1:5" ht="12.75" hidden="1" customHeight="1" outlineLevel="1" x14ac:dyDescent="0.2">
      <c r="A50" s="28" t="str">
        <f>"   "&amp;Labels!B109</f>
        <v xml:space="preserve">   Warrant</v>
      </c>
      <c r="B50" s="70">
        <f>Options!B19/(Shares!B36+'(Other Variables)'!B302)*B33</f>
        <v>0</v>
      </c>
      <c r="C50" s="70">
        <f>Options!C19/(Shares!C36+'(Other Variables)'!C302)*C33</f>
        <v>0</v>
      </c>
      <c r="D50" s="70">
        <f>Options!D19/(Shares!D36+'(Other Variables)'!D302)*D33</f>
        <v>0</v>
      </c>
      <c r="E50" s="30" t="str">
        <f>""</f>
        <v/>
      </c>
    </row>
    <row r="51" spans="1:5" ht="12.75" hidden="1" customHeight="1" outlineLevel="1" x14ac:dyDescent="0.2">
      <c r="A51" s="28" t="str">
        <f>"   "&amp;Labels!B110</f>
        <v xml:space="preserve">   Option</v>
      </c>
      <c r="B51" s="70"/>
      <c r="C51" s="70"/>
      <c r="D51" s="70"/>
      <c r="E51" s="30"/>
    </row>
    <row r="52" spans="1:5" ht="12.75" hidden="1" customHeight="1" outlineLevel="1" x14ac:dyDescent="0.2">
      <c r="A52" s="89" t="str">
        <f>"      "&amp;Labels!B111</f>
        <v xml:space="preserve">      Series B</v>
      </c>
      <c r="B52" s="91">
        <f>Options!B48/(Shares!B36+'(Other Variables)'!B302)*B33</f>
        <v>0</v>
      </c>
      <c r="C52" s="91">
        <f>Options!C48/(Shares!C36+'(Other Variables)'!C302)*C33</f>
        <v>0</v>
      </c>
      <c r="D52" s="91">
        <f>Options!D48/(Shares!D36+'(Other Variables)'!D302)*D33</f>
        <v>0</v>
      </c>
      <c r="E52" s="30" t="str">
        <f>""</f>
        <v/>
      </c>
    </row>
    <row r="53" spans="1:5" ht="12.75" hidden="1" customHeight="1" outlineLevel="1" x14ac:dyDescent="0.2">
      <c r="A53" s="89" t="str">
        <f>"      "&amp;Labels!B112</f>
        <v xml:space="preserve">      Series A</v>
      </c>
      <c r="B53" s="91">
        <f>Options!B49/(Shares!B36+'(Other Variables)'!B302)*B33</f>
        <v>0</v>
      </c>
      <c r="C53" s="91">
        <f>Options!C49/(Shares!C36+'(Other Variables)'!C302)*C33</f>
        <v>0</v>
      </c>
      <c r="D53" s="91">
        <f>Options!D49/(Shares!D36+'(Other Variables)'!D302)*D33</f>
        <v>0</v>
      </c>
      <c r="E53" s="30" t="str">
        <f>""</f>
        <v/>
      </c>
    </row>
    <row r="54" spans="1:5" ht="12.75" hidden="1" customHeight="1" outlineLevel="1" x14ac:dyDescent="0.2">
      <c r="A54" s="28" t="str">
        <f>"      "&amp;Labels!C110</f>
        <v xml:space="preserve">      Subtotal</v>
      </c>
      <c r="B54" s="70">
        <f>SUM(B52:B53)</f>
        <v>0</v>
      </c>
      <c r="C54" s="70">
        <f>SUM(C52:C53)</f>
        <v>0</v>
      </c>
      <c r="D54" s="70">
        <f>SUM(D52:D53)</f>
        <v>0</v>
      </c>
      <c r="E54" s="30" t="str">
        <f>""</f>
        <v/>
      </c>
    </row>
    <row r="55" spans="1:5" ht="12.75" hidden="1" customHeight="1" outlineLevel="1" x14ac:dyDescent="0.2">
      <c r="A55" s="73" t="str">
        <f>"   "&amp;Labels!C102</f>
        <v xml:space="preserve">   Total</v>
      </c>
      <c r="B55" s="74">
        <f>SUM(B45,B48:B50,B54)</f>
        <v>1000001</v>
      </c>
      <c r="C55" s="74">
        <f>SUM(C45,C48:C50,C54)</f>
        <v>1000000</v>
      </c>
      <c r="D55" s="74">
        <f>SUM(D45,D48:D50,D54)</f>
        <v>1000000</v>
      </c>
      <c r="E55" s="30" t="str">
        <f>""</f>
        <v/>
      </c>
    </row>
    <row r="56" spans="1:5" ht="12.75" hidden="1" customHeight="1" outlineLevel="1" x14ac:dyDescent="0.2">
      <c r="A56" s="4"/>
      <c r="B56" s="92"/>
      <c r="C56" s="92"/>
      <c r="D56" s="92"/>
      <c r="E56" s="4"/>
    </row>
    <row r="57" spans="1:5" ht="12.75" hidden="1" customHeight="1" outlineLevel="1" x14ac:dyDescent="0.2">
      <c r="A57" s="73" t="str">
        <f>Labels!B60</f>
        <v>Payout %</v>
      </c>
      <c r="B57" s="75"/>
      <c r="C57" s="75"/>
      <c r="D57" s="75"/>
      <c r="E57" s="145"/>
    </row>
    <row r="58" spans="1:5" ht="12.75" hidden="1" customHeight="1" outlineLevel="1" x14ac:dyDescent="0.2">
      <c r="A58" s="28" t="str">
        <f>"   "&amp;Labels!B103</f>
        <v xml:space="preserve">   Conv Note</v>
      </c>
      <c r="B58" s="71"/>
      <c r="C58" s="71"/>
      <c r="D58" s="71"/>
      <c r="E58" s="145"/>
    </row>
    <row r="59" spans="1:5" ht="12.75" hidden="1" customHeight="1" outlineLevel="1" x14ac:dyDescent="0.2">
      <c r="A59" s="89" t="str">
        <f>"      "&amp;Labels!B104</f>
        <v xml:space="preserve">      Series B</v>
      </c>
      <c r="B59" s="146">
        <f>B43/B55</f>
        <v>0</v>
      </c>
      <c r="C59" s="146">
        <f>C43/C55</f>
        <v>0</v>
      </c>
      <c r="D59" s="146">
        <f>D43/D55</f>
        <v>0</v>
      </c>
      <c r="E59" s="145" t="str">
        <f>""</f>
        <v/>
      </c>
    </row>
    <row r="60" spans="1:5" ht="12.75" hidden="1" customHeight="1" outlineLevel="1" x14ac:dyDescent="0.2">
      <c r="A60" s="89" t="str">
        <f>"      "&amp;Labels!B105</f>
        <v xml:space="preserve">      Series A</v>
      </c>
      <c r="B60" s="146">
        <f>B44/B55</f>
        <v>0</v>
      </c>
      <c r="C60" s="146">
        <f>C44/C55</f>
        <v>0</v>
      </c>
      <c r="D60" s="146">
        <f>D44/D55</f>
        <v>0</v>
      </c>
      <c r="E60" s="145" t="str">
        <f>""</f>
        <v/>
      </c>
    </row>
    <row r="61" spans="1:5" ht="12.75" hidden="1" customHeight="1" outlineLevel="1" x14ac:dyDescent="0.2">
      <c r="A61" s="28" t="str">
        <f>"      "&amp;Labels!C103</f>
        <v xml:space="preserve">      Subtotal</v>
      </c>
      <c r="B61" s="71">
        <f>B45/B55</f>
        <v>0</v>
      </c>
      <c r="C61" s="71">
        <f>C45/C55</f>
        <v>0</v>
      </c>
      <c r="D61" s="71">
        <f>D45/D55</f>
        <v>0</v>
      </c>
      <c r="E61" s="145" t="str">
        <f>""</f>
        <v/>
      </c>
    </row>
    <row r="62" spans="1:5" ht="12.75" hidden="1" customHeight="1" outlineLevel="1" x14ac:dyDescent="0.2">
      <c r="A62" s="28" t="str">
        <f>"   "&amp;Labels!B106</f>
        <v xml:space="preserve">   Preferred</v>
      </c>
      <c r="B62" s="71"/>
      <c r="C62" s="71"/>
      <c r="D62" s="71"/>
      <c r="E62" s="145"/>
    </row>
    <row r="63" spans="1:5" ht="12.75" hidden="1" customHeight="1" outlineLevel="1" x14ac:dyDescent="0.2">
      <c r="A63" s="89" t="str">
        <f>"      "&amp;Labels!B107</f>
        <v xml:space="preserve">      Series A</v>
      </c>
      <c r="B63" s="146">
        <f>B47/B55</f>
        <v>0</v>
      </c>
      <c r="C63" s="146">
        <f>C47/C55</f>
        <v>0</v>
      </c>
      <c r="D63" s="146">
        <f>D47/D55</f>
        <v>0</v>
      </c>
      <c r="E63" s="145" t="str">
        <f>""</f>
        <v/>
      </c>
    </row>
    <row r="64" spans="1:5" ht="12.75" hidden="1" customHeight="1" outlineLevel="1" x14ac:dyDescent="0.2">
      <c r="A64" s="28" t="str">
        <f>"      "&amp;Labels!C106</f>
        <v xml:space="preserve">      Subtotal</v>
      </c>
      <c r="B64" s="71">
        <f>B48/B55</f>
        <v>0</v>
      </c>
      <c r="C64" s="71">
        <f>C48/C55</f>
        <v>0</v>
      </c>
      <c r="D64" s="71">
        <f>D48/D55</f>
        <v>0</v>
      </c>
      <c r="E64" s="145" t="str">
        <f>""</f>
        <v/>
      </c>
    </row>
    <row r="65" spans="1:5" ht="12.75" hidden="1" customHeight="1" outlineLevel="1" x14ac:dyDescent="0.2">
      <c r="A65" s="28" t="str">
        <f>"   "&amp;Labels!B108</f>
        <v xml:space="preserve">   Common</v>
      </c>
      <c r="B65" s="71">
        <f>B49/B55</f>
        <v>1</v>
      </c>
      <c r="C65" s="71">
        <f>C49/C55</f>
        <v>1</v>
      </c>
      <c r="D65" s="71">
        <f>D49/D55</f>
        <v>1</v>
      </c>
      <c r="E65" s="145" t="str">
        <f>""</f>
        <v/>
      </c>
    </row>
    <row r="66" spans="1:5" ht="12.75" hidden="1" customHeight="1" outlineLevel="1" x14ac:dyDescent="0.2">
      <c r="A66" s="28" t="str">
        <f>"   "&amp;Labels!B109</f>
        <v xml:space="preserve">   Warrant</v>
      </c>
      <c r="B66" s="71">
        <f>B50/B55</f>
        <v>0</v>
      </c>
      <c r="C66" s="71">
        <f>C50/C55</f>
        <v>0</v>
      </c>
      <c r="D66" s="71">
        <f>D50/D55</f>
        <v>0</v>
      </c>
      <c r="E66" s="145" t="str">
        <f>""</f>
        <v/>
      </c>
    </row>
    <row r="67" spans="1:5" ht="12.75" hidden="1" customHeight="1" outlineLevel="1" x14ac:dyDescent="0.2">
      <c r="A67" s="28" t="str">
        <f>"   "&amp;Labels!B110</f>
        <v xml:space="preserve">   Option</v>
      </c>
      <c r="B67" s="71"/>
      <c r="C67" s="71"/>
      <c r="D67" s="71"/>
      <c r="E67" s="145"/>
    </row>
    <row r="68" spans="1:5" ht="12.75" hidden="1" customHeight="1" outlineLevel="1" x14ac:dyDescent="0.2">
      <c r="A68" s="89" t="str">
        <f>"      "&amp;Labels!B111</f>
        <v xml:space="preserve">      Series B</v>
      </c>
      <c r="B68" s="146">
        <f>B52/B55</f>
        <v>0</v>
      </c>
      <c r="C68" s="146">
        <f>C52/C55</f>
        <v>0</v>
      </c>
      <c r="D68" s="146">
        <f>D52/D55</f>
        <v>0</v>
      </c>
      <c r="E68" s="145" t="str">
        <f>""</f>
        <v/>
      </c>
    </row>
    <row r="69" spans="1:5" ht="12.75" hidden="1" customHeight="1" outlineLevel="1" x14ac:dyDescent="0.2">
      <c r="A69" s="89" t="str">
        <f>"      "&amp;Labels!B112</f>
        <v xml:space="preserve">      Series A</v>
      </c>
      <c r="B69" s="146">
        <f>B53/B55</f>
        <v>0</v>
      </c>
      <c r="C69" s="146">
        <f>C53/C55</f>
        <v>0</v>
      </c>
      <c r="D69" s="146">
        <f>D53/D55</f>
        <v>0</v>
      </c>
      <c r="E69" s="145" t="str">
        <f>""</f>
        <v/>
      </c>
    </row>
    <row r="70" spans="1:5" ht="12.75" hidden="1" customHeight="1" outlineLevel="1" x14ac:dyDescent="0.2">
      <c r="A70" s="28" t="str">
        <f>"      "&amp;Labels!C110</f>
        <v xml:space="preserve">      Subtotal</v>
      </c>
      <c r="B70" s="71">
        <f>B54/B55</f>
        <v>0</v>
      </c>
      <c r="C70" s="71">
        <f>C54/C55</f>
        <v>0</v>
      </c>
      <c r="D70" s="71">
        <f>D54/D55</f>
        <v>0</v>
      </c>
      <c r="E70" s="145" t="str">
        <f>""</f>
        <v/>
      </c>
    </row>
    <row r="71" spans="1:5" ht="12.75" hidden="1" customHeight="1" outlineLevel="1" x14ac:dyDescent="0.2">
      <c r="A71" s="15" t="str">
        <f>"   "&amp;Labels!C102</f>
        <v xml:space="preserve">   Total</v>
      </c>
      <c r="B71" s="147">
        <f>B55/B55</f>
        <v>1</v>
      </c>
      <c r="C71" s="147">
        <f>C55/C55</f>
        <v>1</v>
      </c>
      <c r="D71" s="147">
        <f>D55/D55</f>
        <v>1</v>
      </c>
      <c r="E71" s="148" t="str">
        <f>""</f>
        <v/>
      </c>
    </row>
    <row r="72" spans="1:5" ht="12.75" hidden="1" customHeight="1" outlineLevel="1" x14ac:dyDescent="0.2"/>
    <row r="73" spans="1:5" ht="12.75" hidden="1" customHeight="1" outlineLevel="1" x14ac:dyDescent="0.2">
      <c r="A73" s="263" t="str">
        <f>"Liquidation Preference - Notes"</f>
        <v>Liquidation Preference - Notes</v>
      </c>
      <c r="B73" s="263"/>
      <c r="C73" s="263"/>
    </row>
    <row r="74" spans="1:5" ht="12.75" hidden="1" customHeight="1" outlineLevel="1" x14ac:dyDescent="0.2">
      <c r="A74" s="11" t="str">
        <f>Labels!B48</f>
        <v>Liquidation Preference</v>
      </c>
      <c r="B74" s="26"/>
      <c r="C74" s="26"/>
      <c r="D74" s="26"/>
      <c r="E74" s="27"/>
    </row>
    <row r="75" spans="1:5" ht="12.75" hidden="1" customHeight="1" outlineLevel="1" x14ac:dyDescent="0.2">
      <c r="A75" s="28" t="str">
        <f>"   "&amp;Labels!B104</f>
        <v xml:space="preserve">   Series B</v>
      </c>
      <c r="B75" s="70">
        <f>MAX(0,0+(Investment!B290+Investment!B229-Investment!B259)*Inputs!C23)</f>
        <v>0</v>
      </c>
      <c r="C75" s="70">
        <f>MAX(0,B75+(Investment!C290+Investment!C229-Investment!C259)*Inputs!C23)</f>
        <v>0</v>
      </c>
      <c r="D75" s="70">
        <f>MAX(0,C75+(Investment!D290+Investment!D229-Investment!D259)*Inputs!C23)</f>
        <v>0</v>
      </c>
      <c r="E75" s="30">
        <f>SUM(B75:D75)</f>
        <v>0</v>
      </c>
    </row>
    <row r="76" spans="1:5" ht="12.75" hidden="1" customHeight="1" outlineLevel="1" x14ac:dyDescent="0.2">
      <c r="A76" s="28" t="str">
        <f>"   "&amp;Labels!B105</f>
        <v xml:space="preserve">   Series A</v>
      </c>
      <c r="B76" s="70">
        <f>MAX(0,0+(Investment!B291+Investment!B230-Investment!B260)*Inputs!C24)</f>
        <v>0</v>
      </c>
      <c r="C76" s="70">
        <f>MAX(0,B76+(Investment!C291+Investment!C230-Investment!C260)*Inputs!C24)</f>
        <v>0</v>
      </c>
      <c r="D76" s="70">
        <f>MAX(0,C76+(Investment!D291+Investment!D230-Investment!D260)*Inputs!C24)</f>
        <v>0</v>
      </c>
      <c r="E76" s="30">
        <f>SUM(B76:D76)</f>
        <v>0</v>
      </c>
    </row>
    <row r="77" spans="1:5" ht="12.75" hidden="1" customHeight="1" outlineLevel="1" x14ac:dyDescent="0.2">
      <c r="A77" s="15" t="str">
        <f>"   "&amp;Labels!C103</f>
        <v xml:space="preserve">   Subtotal</v>
      </c>
      <c r="B77" s="31">
        <f>SUM(B75:B76)</f>
        <v>0</v>
      </c>
      <c r="C77" s="31">
        <f>SUM(C75:C76)</f>
        <v>0</v>
      </c>
      <c r="D77" s="31">
        <f>SUM(D75:D76)</f>
        <v>0</v>
      </c>
      <c r="E77" s="32">
        <f>SUM(E75:E76)</f>
        <v>0</v>
      </c>
    </row>
    <row r="78" spans="1:5" ht="12.75" hidden="1" customHeight="1" outlineLevel="1" x14ac:dyDescent="0.2"/>
    <row r="79" spans="1:5" ht="12.75" hidden="1" customHeight="1" outlineLevel="1" x14ac:dyDescent="0.2">
      <c r="A79" s="263" t="str">
        <f>"Liquuidation Preference - Preferred"</f>
        <v>Liquuidation Preference - Preferred</v>
      </c>
      <c r="B79" s="263"/>
      <c r="C79" s="263"/>
    </row>
    <row r="80" spans="1:5" ht="12.75" hidden="1" customHeight="1" outlineLevel="1" x14ac:dyDescent="0.2">
      <c r="A80" s="11" t="str">
        <f>Labels!B48</f>
        <v>Liquidation Preference</v>
      </c>
      <c r="B80" s="26"/>
      <c r="C80" s="26"/>
      <c r="D80" s="26"/>
      <c r="E80" s="27"/>
    </row>
    <row r="81" spans="1:5" ht="12.75" hidden="1" customHeight="1" outlineLevel="1" x14ac:dyDescent="0.2">
      <c r="A81" s="28" t="str">
        <f>"   "&amp;Labels!B107</f>
        <v xml:space="preserve">   Series A</v>
      </c>
      <c r="B81" s="70">
        <f>MAX(0,0+(Investment!B294+Investment!B233-Investment!B263)*Inputs!B53)</f>
        <v>0</v>
      </c>
      <c r="C81" s="70">
        <f>MAX(0,B81+(Investment!C294+Investment!C233-Investment!C263)*Inputs!B53)</f>
        <v>0</v>
      </c>
      <c r="D81" s="70">
        <f>MAX(0,C81+(Investment!D294+Investment!D233-Investment!D263)*Inputs!B53)</f>
        <v>0</v>
      </c>
      <c r="E81" s="30">
        <f>SUM(B81:D81)</f>
        <v>0</v>
      </c>
    </row>
    <row r="82" spans="1:5" ht="12.75" hidden="1" customHeight="1" outlineLevel="1" x14ac:dyDescent="0.2">
      <c r="A82" s="15" t="str">
        <f>"   "&amp;Labels!C106</f>
        <v xml:space="preserve">   Subtotal</v>
      </c>
      <c r="B82" s="31">
        <f>B81</f>
        <v>0</v>
      </c>
      <c r="C82" s="31">
        <f>C81</f>
        <v>0</v>
      </c>
      <c r="D82" s="31">
        <f>D81</f>
        <v>0</v>
      </c>
      <c r="E82" s="32">
        <f>E81</f>
        <v>0</v>
      </c>
    </row>
    <row r="83" spans="1:5" ht="12.75" hidden="1" customHeight="1" outlineLevel="1" x14ac:dyDescent="0.2"/>
    <row r="84" spans="1:5" ht="12.75" hidden="1" customHeight="1" outlineLevel="1" collapsed="1" x14ac:dyDescent="0.2"/>
    <row r="85" spans="1:5" ht="12.75" customHeight="1" collapsed="1" x14ac:dyDescent="0.2"/>
  </sheetData>
  <mergeCells count="7">
    <mergeCell ref="A79:C79"/>
    <mergeCell ref="A1:D1"/>
    <mergeCell ref="A2:D2"/>
    <mergeCell ref="A3:D3"/>
    <mergeCell ref="A4:D4"/>
    <mergeCell ref="A5:D5"/>
    <mergeCell ref="A73:C73"/>
  </mergeCells>
  <pageMargins left="0.25" right="0.25" top="0.5" bottom="0.5" header="0.5" footer="0.5"/>
  <pageSetup paperSize="9" fitToHeight="32767" orientation="landscape"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223"/>
  <sheetViews>
    <sheetView zoomScaleNormal="100" workbookViewId="0"/>
  </sheetViews>
  <sheetFormatPr defaultRowHeight="12.75" customHeight="1" x14ac:dyDescent="0.2"/>
  <cols>
    <col min="1" max="1" width="29.85546875" customWidth="1"/>
    <col min="2" max="2" width="27" customWidth="1"/>
    <col min="3" max="3" width="56.28515625" customWidth="1"/>
    <col min="4" max="4" width="8.7109375" customWidth="1"/>
    <col min="5" max="5" width="255.7109375"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IF("Formulas"="(Default Input)","Ignore this sheet in normal use.","Investment Scenario "&amp;1&amp;", Valuation Scenario "&amp;1)</f>
        <v>Investment Scenario 1, Valuation Scenario 1</v>
      </c>
      <c r="B3" s="261"/>
      <c r="C3" s="261"/>
      <c r="D3" s="261"/>
    </row>
    <row r="4" spans="1:5" ht="12.75" customHeight="1" x14ac:dyDescent="0.2">
      <c r="A4" s="261" t="str">
        <f>" "</f>
        <v xml:space="preserve"> </v>
      </c>
      <c r="B4" s="261"/>
      <c r="C4" s="261"/>
      <c r="D4" s="261"/>
    </row>
    <row r="5" spans="1:5" ht="12.75" customHeight="1" x14ac:dyDescent="0.2">
      <c r="A5" s="149" t="s">
        <v>421</v>
      </c>
      <c r="B5" s="149" t="s">
        <v>765</v>
      </c>
      <c r="C5" s="149" t="s">
        <v>20</v>
      </c>
      <c r="D5" s="149"/>
      <c r="E5" s="149" t="s">
        <v>676</v>
      </c>
    </row>
    <row r="6" spans="1:5" ht="12.75" customHeight="1" x14ac:dyDescent="0.2">
      <c r="A6" s="150" t="s">
        <v>139</v>
      </c>
      <c r="B6" s="150" t="str">
        <f>Labels!B5</f>
        <v>Company Name</v>
      </c>
      <c r="C6" s="151"/>
      <c r="D6" s="152"/>
      <c r="E6" s="153"/>
    </row>
    <row r="7" spans="1:5" ht="12.75" customHeight="1" x14ac:dyDescent="0.2">
      <c r="A7" s="92"/>
      <c r="B7" s="92"/>
      <c r="C7" s="154"/>
      <c r="D7" s="155"/>
      <c r="E7" s="92"/>
    </row>
    <row r="8" spans="1:5" ht="12.75" customHeight="1" x14ac:dyDescent="0.2">
      <c r="A8" s="150" t="s">
        <v>182</v>
      </c>
      <c r="B8" s="150" t="str">
        <f>Labels!B6</f>
        <v>Default Conversion Decisions</v>
      </c>
      <c r="C8" s="151" t="s">
        <v>135</v>
      </c>
      <c r="D8" s="152" t="s">
        <v>559</v>
      </c>
      <c r="E8" s="153" t="s">
        <v>750</v>
      </c>
    </row>
    <row r="9" spans="1:5" ht="12.75" customHeight="1" x14ac:dyDescent="0.2">
      <c r="A9" s="92"/>
      <c r="B9" s="92"/>
      <c r="C9" s="154"/>
      <c r="D9" s="155"/>
      <c r="E9" s="92"/>
    </row>
    <row r="10" spans="1:5" ht="12.75" customHeight="1" x14ac:dyDescent="0.2">
      <c r="A10" s="150" t="s">
        <v>361</v>
      </c>
      <c r="B10" s="150" t="str">
        <f>Labels!B7</f>
        <v>Conversion Decisions Detail</v>
      </c>
      <c r="C10" s="151" t="s">
        <v>311</v>
      </c>
      <c r="D10" s="152" t="s">
        <v>559</v>
      </c>
      <c r="E10" s="153" t="s">
        <v>375</v>
      </c>
    </row>
    <row r="11" spans="1:5" ht="12.75" customHeight="1" x14ac:dyDescent="0.2">
      <c r="A11" s="150"/>
      <c r="B11" s="150"/>
      <c r="C11" s="151" t="s">
        <v>556</v>
      </c>
      <c r="D11" s="152" t="s">
        <v>559</v>
      </c>
      <c r="E11" s="153" t="s">
        <v>227</v>
      </c>
    </row>
    <row r="12" spans="1:5" ht="12.75" customHeight="1" x14ac:dyDescent="0.2">
      <c r="A12" s="150"/>
      <c r="B12" s="150"/>
      <c r="C12" s="151" t="s">
        <v>235</v>
      </c>
      <c r="D12" s="152" t="s">
        <v>559</v>
      </c>
      <c r="E12" s="153" t="s">
        <v>302</v>
      </c>
    </row>
    <row r="13" spans="1:5" ht="12.75" customHeight="1" x14ac:dyDescent="0.2">
      <c r="A13" s="150"/>
      <c r="B13" s="150"/>
      <c r="C13" s="151" t="s">
        <v>433</v>
      </c>
      <c r="D13" s="152" t="s">
        <v>559</v>
      </c>
      <c r="E13" s="153" t="s">
        <v>166</v>
      </c>
    </row>
    <row r="14" spans="1:5" ht="12.75" customHeight="1" x14ac:dyDescent="0.2">
      <c r="A14" s="150"/>
      <c r="B14" s="150"/>
      <c r="C14" s="151" t="s">
        <v>439</v>
      </c>
      <c r="D14" s="152" t="s">
        <v>559</v>
      </c>
      <c r="E14" s="153" t="s">
        <v>375</v>
      </c>
    </row>
    <row r="15" spans="1:5" ht="12.75" customHeight="1" x14ac:dyDescent="0.2">
      <c r="A15" s="150"/>
      <c r="B15" s="150"/>
      <c r="C15" s="151" t="s">
        <v>193</v>
      </c>
      <c r="D15" s="152" t="s">
        <v>559</v>
      </c>
      <c r="E15" s="153" t="s">
        <v>166</v>
      </c>
    </row>
    <row r="16" spans="1:5" ht="12.75" customHeight="1" x14ac:dyDescent="0.2">
      <c r="A16" s="150"/>
      <c r="B16" s="150"/>
      <c r="C16" s="151" t="s">
        <v>271</v>
      </c>
      <c r="D16" s="152" t="s">
        <v>559</v>
      </c>
      <c r="E16" s="153" t="s">
        <v>31</v>
      </c>
    </row>
    <row r="17" spans="1:5" ht="12.75" customHeight="1" x14ac:dyDescent="0.2">
      <c r="A17" s="150"/>
      <c r="B17" s="150"/>
      <c r="C17" s="151" t="s">
        <v>637</v>
      </c>
      <c r="D17" s="152" t="s">
        <v>559</v>
      </c>
      <c r="E17" s="153" t="s">
        <v>366</v>
      </c>
    </row>
    <row r="18" spans="1:5" ht="12.75" customHeight="1" x14ac:dyDescent="0.2">
      <c r="A18" s="150"/>
      <c r="B18" s="150"/>
      <c r="C18" s="151" t="s">
        <v>562</v>
      </c>
      <c r="D18" s="152" t="s">
        <v>111</v>
      </c>
      <c r="E18" s="153" t="s">
        <v>218</v>
      </c>
    </row>
    <row r="19" spans="1:5" ht="12.75" customHeight="1" x14ac:dyDescent="0.2">
      <c r="A19" s="150"/>
      <c r="B19" s="150"/>
      <c r="C19" s="151" t="s">
        <v>408</v>
      </c>
      <c r="D19" s="152" t="s">
        <v>111</v>
      </c>
      <c r="E19" s="153" t="s">
        <v>205</v>
      </c>
    </row>
    <row r="20" spans="1:5" ht="12.75" customHeight="1" x14ac:dyDescent="0.2">
      <c r="A20" s="92"/>
      <c r="B20" s="92"/>
      <c r="C20" s="154"/>
      <c r="D20" s="155"/>
      <c r="E20" s="92"/>
    </row>
    <row r="21" spans="1:5" ht="12.75" customHeight="1" x14ac:dyDescent="0.2">
      <c r="A21" s="150" t="s">
        <v>89</v>
      </c>
      <c r="B21" s="150" t="str">
        <f>Labels!B8</f>
        <v>Liq Premium %</v>
      </c>
      <c r="C21" s="151"/>
      <c r="D21" s="152"/>
      <c r="E21" s="153"/>
    </row>
    <row r="22" spans="1:5" ht="12.75" customHeight="1" x14ac:dyDescent="0.2">
      <c r="A22" s="92"/>
      <c r="B22" s="92"/>
      <c r="C22" s="154"/>
      <c r="D22" s="155"/>
      <c r="E22" s="92"/>
    </row>
    <row r="23" spans="1:5" ht="12.75" customHeight="1" x14ac:dyDescent="0.2">
      <c r="A23" s="150" t="s">
        <v>484</v>
      </c>
      <c r="B23" s="150" t="str">
        <f>Labels!B9</f>
        <v>Trigger Date</v>
      </c>
      <c r="C23" s="151"/>
      <c r="D23" s="152"/>
      <c r="E23" s="153"/>
    </row>
    <row r="24" spans="1:5" ht="12.75" customHeight="1" x14ac:dyDescent="0.2">
      <c r="A24" s="92"/>
      <c r="B24" s="92"/>
      <c r="C24" s="154"/>
      <c r="D24" s="155"/>
      <c r="E24" s="92"/>
    </row>
    <row r="25" spans="1:5" ht="12.75" customHeight="1" x14ac:dyDescent="0.2">
      <c r="A25" s="150" t="s">
        <v>3</v>
      </c>
      <c r="B25" s="150" t="str">
        <f>Labels!B10</f>
        <v>Trigger Invest</v>
      </c>
      <c r="C25" s="151"/>
      <c r="D25" s="152"/>
      <c r="E25" s="153"/>
    </row>
    <row r="26" spans="1:5" ht="12.75" customHeight="1" x14ac:dyDescent="0.2">
      <c r="A26" s="92"/>
      <c r="B26" s="92"/>
      <c r="C26" s="154"/>
      <c r="D26" s="155"/>
      <c r="E26" s="92"/>
    </row>
    <row r="27" spans="1:5" ht="12.75" customHeight="1" x14ac:dyDescent="0.2">
      <c r="A27" s="150" t="s">
        <v>700</v>
      </c>
      <c r="B27" s="150" t="str">
        <f>Labels!B11</f>
        <v>Trigger Value %</v>
      </c>
      <c r="C27" s="151"/>
      <c r="D27" s="152"/>
      <c r="E27" s="153"/>
    </row>
    <row r="28" spans="1:5" ht="12.75" customHeight="1" x14ac:dyDescent="0.2">
      <c r="A28" s="92"/>
      <c r="B28" s="92"/>
      <c r="C28" s="154"/>
      <c r="D28" s="155"/>
      <c r="E28" s="92"/>
    </row>
    <row r="29" spans="1:5" ht="12.75" customHeight="1" x14ac:dyDescent="0.2">
      <c r="A29" s="150" t="s">
        <v>820</v>
      </c>
      <c r="B29" s="150" t="str">
        <f>Labels!B12</f>
        <v>% Converting</v>
      </c>
      <c r="C29" s="151" t="s">
        <v>135</v>
      </c>
      <c r="D29" s="152" t="s">
        <v>559</v>
      </c>
      <c r="E29" s="153" t="s">
        <v>182</v>
      </c>
    </row>
    <row r="30" spans="1:5" ht="12.75" customHeight="1" x14ac:dyDescent="0.2">
      <c r="A30" s="92"/>
      <c r="B30" s="92"/>
      <c r="C30" s="154"/>
      <c r="D30" s="155"/>
      <c r="E30" s="92"/>
    </row>
    <row r="31" spans="1:5" ht="12.75" customHeight="1" x14ac:dyDescent="0.2">
      <c r="A31" s="150" t="s">
        <v>784</v>
      </c>
      <c r="B31" s="150" t="str">
        <f>Labels!B13</f>
        <v>Conv Discount %</v>
      </c>
      <c r="C31" s="151"/>
      <c r="D31" s="152"/>
      <c r="E31" s="153"/>
    </row>
    <row r="32" spans="1:5" ht="12.75" customHeight="1" x14ac:dyDescent="0.2">
      <c r="A32" s="92"/>
      <c r="B32" s="92"/>
      <c r="C32" s="154"/>
      <c r="D32" s="155"/>
      <c r="E32" s="92"/>
    </row>
    <row r="33" spans="1:5" ht="12.75" customHeight="1" x14ac:dyDescent="0.2">
      <c r="A33" s="150" t="s">
        <v>468</v>
      </c>
      <c r="B33" s="150" t="str">
        <f>Labels!B14</f>
        <v>Discount Rate (Yr)</v>
      </c>
      <c r="C33" s="151" t="s">
        <v>72</v>
      </c>
      <c r="D33" s="152" t="s">
        <v>111</v>
      </c>
      <c r="E33" s="153" t="s">
        <v>661</v>
      </c>
    </row>
    <row r="34" spans="1:5" ht="12.75" customHeight="1" x14ac:dyDescent="0.2">
      <c r="A34" s="92"/>
      <c r="B34" s="92"/>
      <c r="C34" s="154"/>
      <c r="D34" s="155"/>
      <c r="E34" s="92"/>
    </row>
    <row r="35" spans="1:5" ht="12.75" customHeight="1" x14ac:dyDescent="0.2">
      <c r="A35" s="150" t="s">
        <v>573</v>
      </c>
      <c r="B35" s="150" t="str">
        <f>Labels!B15</f>
        <v>Dividend</v>
      </c>
      <c r="C35" s="151" t="s">
        <v>118</v>
      </c>
      <c r="D35" s="152" t="s">
        <v>559</v>
      </c>
      <c r="E35" s="153" t="s">
        <v>2</v>
      </c>
    </row>
    <row r="36" spans="1:5" ht="12.75" customHeight="1" x14ac:dyDescent="0.2">
      <c r="A36" s="150"/>
      <c r="B36" s="150"/>
      <c r="C36" s="151" t="s">
        <v>135</v>
      </c>
      <c r="D36" s="152" t="s">
        <v>559</v>
      </c>
      <c r="E36" s="153" t="s">
        <v>146</v>
      </c>
    </row>
    <row r="37" spans="1:5" ht="12.75" customHeight="1" x14ac:dyDescent="0.2">
      <c r="A37" s="92"/>
      <c r="B37" s="92"/>
      <c r="C37" s="154"/>
      <c r="D37" s="155"/>
      <c r="E37" s="92"/>
    </row>
    <row r="38" spans="1:5" ht="12.75" customHeight="1" x14ac:dyDescent="0.2">
      <c r="A38" s="150" t="s">
        <v>415</v>
      </c>
      <c r="B38" s="150" t="str">
        <f>Labels!B16</f>
        <v>Dividend by Origin</v>
      </c>
      <c r="C38" s="151" t="s">
        <v>118</v>
      </c>
      <c r="D38" s="152" t="s">
        <v>559</v>
      </c>
      <c r="E38" s="153" t="s">
        <v>367</v>
      </c>
    </row>
    <row r="39" spans="1:5" ht="12.75" customHeight="1" x14ac:dyDescent="0.2">
      <c r="A39" s="150"/>
      <c r="B39" s="150"/>
      <c r="C39" s="151" t="s">
        <v>135</v>
      </c>
      <c r="D39" s="152" t="s">
        <v>559</v>
      </c>
      <c r="E39" s="153" t="s">
        <v>58</v>
      </c>
    </row>
    <row r="40" spans="1:5" ht="12.75" customHeight="1" x14ac:dyDescent="0.2">
      <c r="A40" s="92"/>
      <c r="B40" s="92"/>
      <c r="C40" s="154"/>
      <c r="D40" s="155"/>
      <c r="E40" s="92"/>
    </row>
    <row r="41" spans="1:5" ht="12.75" customHeight="1" x14ac:dyDescent="0.2">
      <c r="A41" s="150" t="s">
        <v>411</v>
      </c>
      <c r="B41" s="150" t="str">
        <f>Labels!B17</f>
        <v>Dividend by Origin</v>
      </c>
      <c r="C41" s="151" t="s">
        <v>72</v>
      </c>
      <c r="D41" s="152" t="s">
        <v>559</v>
      </c>
      <c r="E41" s="153" t="s">
        <v>451</v>
      </c>
    </row>
    <row r="42" spans="1:5" ht="12.75" customHeight="1" x14ac:dyDescent="0.2">
      <c r="A42" s="92"/>
      <c r="B42" s="92"/>
      <c r="C42" s="154"/>
      <c r="D42" s="155"/>
      <c r="E42" s="92"/>
    </row>
    <row r="43" spans="1:5" ht="12.75" customHeight="1" x14ac:dyDescent="0.2">
      <c r="A43" s="150" t="s">
        <v>2</v>
      </c>
      <c r="B43" s="150" t="str">
        <f>Labels!B18</f>
        <v>Dividend Common</v>
      </c>
      <c r="C43" s="151"/>
      <c r="D43" s="152"/>
      <c r="E43" s="153"/>
    </row>
    <row r="44" spans="1:5" ht="12.75" customHeight="1" x14ac:dyDescent="0.2">
      <c r="A44" s="92"/>
      <c r="B44" s="92"/>
      <c r="C44" s="154"/>
      <c r="D44" s="155"/>
      <c r="E44" s="92"/>
    </row>
    <row r="45" spans="1:5" ht="12.75" customHeight="1" x14ac:dyDescent="0.2">
      <c r="A45" s="150" t="s">
        <v>606</v>
      </c>
      <c r="B45" s="150" t="str">
        <f>Labels!B19</f>
        <v>Dividend % (Yr)</v>
      </c>
      <c r="C45" s="151"/>
      <c r="D45" s="152"/>
      <c r="E45" s="153"/>
    </row>
    <row r="46" spans="1:5" ht="12.75" customHeight="1" x14ac:dyDescent="0.2">
      <c r="A46" s="92"/>
      <c r="B46" s="92"/>
      <c r="C46" s="154"/>
      <c r="D46" s="155"/>
      <c r="E46" s="92"/>
    </row>
    <row r="47" spans="1:5" ht="12.75" customHeight="1" x14ac:dyDescent="0.2">
      <c r="A47" s="150" t="s">
        <v>627</v>
      </c>
      <c r="B47" s="150" t="str">
        <f>Labels!B20</f>
        <v>Event Date</v>
      </c>
      <c r="C47" s="151" t="s">
        <v>734</v>
      </c>
      <c r="D47" s="152" t="s">
        <v>559</v>
      </c>
      <c r="E47" s="153" t="s">
        <v>49</v>
      </c>
    </row>
    <row r="48" spans="1:5" ht="12.75" customHeight="1" x14ac:dyDescent="0.2">
      <c r="A48" s="92"/>
      <c r="B48" s="92"/>
      <c r="C48" s="154"/>
      <c r="D48" s="155"/>
      <c r="E48" s="92"/>
    </row>
    <row r="49" spans="1:5" ht="12.75" customHeight="1" x14ac:dyDescent="0.2">
      <c r="A49" s="150" t="s">
        <v>49</v>
      </c>
      <c r="B49" s="150" t="str">
        <f>Labels!B21</f>
        <v>Event Date</v>
      </c>
      <c r="C49" s="151" t="s">
        <v>734</v>
      </c>
      <c r="D49" s="152" t="s">
        <v>559</v>
      </c>
      <c r="E49" s="153" t="s">
        <v>183</v>
      </c>
    </row>
    <row r="50" spans="1:5" ht="12.75" customHeight="1" x14ac:dyDescent="0.2">
      <c r="A50" s="92"/>
      <c r="B50" s="92"/>
      <c r="C50" s="154"/>
      <c r="D50" s="155"/>
      <c r="E50" s="92"/>
    </row>
    <row r="51" spans="1:5" ht="12.75" customHeight="1" x14ac:dyDescent="0.2">
      <c r="A51" s="150" t="s">
        <v>328</v>
      </c>
      <c r="B51" s="150" t="str">
        <f>Labels!B22</f>
        <v>Firm Value</v>
      </c>
      <c r="C51" s="151" t="s">
        <v>244</v>
      </c>
      <c r="D51" s="152" t="s">
        <v>559</v>
      </c>
      <c r="E51" s="153" t="s">
        <v>140</v>
      </c>
    </row>
    <row r="52" spans="1:5" ht="12.75" customHeight="1" x14ac:dyDescent="0.2">
      <c r="A52" s="150"/>
      <c r="B52" s="150"/>
      <c r="C52" s="151" t="s">
        <v>265</v>
      </c>
      <c r="D52" s="152" t="s">
        <v>559</v>
      </c>
      <c r="E52" s="153" t="s">
        <v>6</v>
      </c>
    </row>
    <row r="53" spans="1:5" ht="12.75" customHeight="1" x14ac:dyDescent="0.2">
      <c r="A53" s="150"/>
      <c r="B53" s="150"/>
      <c r="C53" s="151" t="s">
        <v>605</v>
      </c>
      <c r="D53" s="152" t="s">
        <v>559</v>
      </c>
      <c r="E53" s="153" t="s">
        <v>811</v>
      </c>
    </row>
    <row r="54" spans="1:5" ht="12.75" customHeight="1" x14ac:dyDescent="0.2">
      <c r="A54" s="150"/>
      <c r="B54" s="150"/>
      <c r="C54" s="151" t="s">
        <v>609</v>
      </c>
      <c r="D54" s="152" t="s">
        <v>559</v>
      </c>
      <c r="E54" s="153" t="s">
        <v>659</v>
      </c>
    </row>
    <row r="55" spans="1:5" ht="12.75" customHeight="1" x14ac:dyDescent="0.2">
      <c r="A55" s="150"/>
      <c r="B55" s="150"/>
      <c r="C55" s="151" t="s">
        <v>680</v>
      </c>
      <c r="D55" s="152" t="s">
        <v>559</v>
      </c>
      <c r="E55" s="153" t="s">
        <v>518</v>
      </c>
    </row>
    <row r="56" spans="1:5" ht="12.75" customHeight="1" x14ac:dyDescent="0.2">
      <c r="A56" s="92"/>
      <c r="B56" s="92"/>
      <c r="C56" s="154"/>
      <c r="D56" s="155"/>
      <c r="E56" s="92"/>
    </row>
    <row r="57" spans="1:5" ht="12.75" customHeight="1" x14ac:dyDescent="0.2">
      <c r="A57" s="150" t="s">
        <v>771</v>
      </c>
      <c r="B57" s="150" t="str">
        <f>Labels!B23</f>
        <v>Firm Value</v>
      </c>
      <c r="C57" s="151" t="s">
        <v>734</v>
      </c>
      <c r="D57" s="152" t="s">
        <v>559</v>
      </c>
      <c r="E57" s="153" t="s">
        <v>426</v>
      </c>
    </row>
    <row r="58" spans="1:5" ht="12.75" customHeight="1" x14ac:dyDescent="0.2">
      <c r="A58" s="92"/>
      <c r="B58" s="92"/>
      <c r="C58" s="154"/>
      <c r="D58" s="155"/>
      <c r="E58" s="92"/>
    </row>
    <row r="59" spans="1:5" ht="12.75" customHeight="1" x14ac:dyDescent="0.2">
      <c r="A59" s="150" t="s">
        <v>659</v>
      </c>
      <c r="B59" s="150" t="str">
        <f>Labels!B24</f>
        <v>Firm Value Start</v>
      </c>
      <c r="C59" s="151" t="s">
        <v>734</v>
      </c>
      <c r="D59" s="152" t="s">
        <v>559</v>
      </c>
      <c r="E59" s="153" t="s">
        <v>493</v>
      </c>
    </row>
    <row r="60" spans="1:5" ht="12.75" customHeight="1" x14ac:dyDescent="0.2">
      <c r="A60" s="92"/>
      <c r="B60" s="92"/>
      <c r="C60" s="154"/>
      <c r="D60" s="155"/>
      <c r="E60" s="92"/>
    </row>
    <row r="61" spans="1:5" ht="12.75" customHeight="1" x14ac:dyDescent="0.2">
      <c r="A61" s="150" t="s">
        <v>493</v>
      </c>
      <c r="B61" s="150" t="str">
        <f>Labels!B25</f>
        <v>Firm Value</v>
      </c>
      <c r="C61" s="151" t="s">
        <v>734</v>
      </c>
      <c r="D61" s="152" t="s">
        <v>559</v>
      </c>
      <c r="E61" s="153" t="s">
        <v>192</v>
      </c>
    </row>
    <row r="62" spans="1:5" ht="12.75" customHeight="1" x14ac:dyDescent="0.2">
      <c r="A62" s="92"/>
      <c r="B62" s="92"/>
      <c r="C62" s="154"/>
      <c r="D62" s="155"/>
      <c r="E62" s="92"/>
    </row>
    <row r="63" spans="1:5" ht="12.75" customHeight="1" x14ac:dyDescent="0.2">
      <c r="A63" s="150" t="s">
        <v>285</v>
      </c>
      <c r="B63" s="150" t="str">
        <f>Labels!B26</f>
        <v>Invest by Origin Common</v>
      </c>
      <c r="C63" s="151" t="s">
        <v>734</v>
      </c>
      <c r="D63" s="152" t="s">
        <v>559</v>
      </c>
      <c r="E63" s="153" t="s">
        <v>736</v>
      </c>
    </row>
    <row r="64" spans="1:5" ht="12.75" customHeight="1" x14ac:dyDescent="0.2">
      <c r="A64" s="92"/>
      <c r="B64" s="92"/>
      <c r="C64" s="154"/>
      <c r="D64" s="155"/>
      <c r="E64" s="92"/>
    </row>
    <row r="65" spans="1:5" ht="12.75" customHeight="1" x14ac:dyDescent="0.2">
      <c r="A65" s="150" t="s">
        <v>779</v>
      </c>
      <c r="B65" s="150" t="str">
        <f>Labels!B27</f>
        <v>Invest by Origin Conv Notes</v>
      </c>
      <c r="C65" s="151" t="s">
        <v>734</v>
      </c>
      <c r="D65" s="152" t="s">
        <v>559</v>
      </c>
      <c r="E65" s="153" t="s">
        <v>728</v>
      </c>
    </row>
    <row r="66" spans="1:5" ht="12.75" customHeight="1" x14ac:dyDescent="0.2">
      <c r="A66" s="92"/>
      <c r="B66" s="92"/>
      <c r="C66" s="154"/>
      <c r="D66" s="155"/>
      <c r="E66" s="92"/>
    </row>
    <row r="67" spans="1:5" ht="12.75" customHeight="1" x14ac:dyDescent="0.2">
      <c r="A67" s="150" t="s">
        <v>334</v>
      </c>
      <c r="B67" s="150" t="str">
        <f>Labels!B28</f>
        <v>Invest by Origin ex-Dividend</v>
      </c>
      <c r="C67" s="151" t="s">
        <v>369</v>
      </c>
      <c r="D67" s="152" t="s">
        <v>559</v>
      </c>
      <c r="E67" s="153" t="s">
        <v>336</v>
      </c>
    </row>
    <row r="68" spans="1:5" ht="12.75" customHeight="1" x14ac:dyDescent="0.2">
      <c r="A68" s="150"/>
      <c r="B68" s="150"/>
      <c r="C68" s="151" t="s">
        <v>574</v>
      </c>
      <c r="D68" s="152" t="s">
        <v>559</v>
      </c>
      <c r="E68" s="153" t="s">
        <v>101</v>
      </c>
    </row>
    <row r="69" spans="1:5" ht="12.75" customHeight="1" x14ac:dyDescent="0.2">
      <c r="A69" s="150"/>
      <c r="B69" s="150"/>
      <c r="C69" s="151" t="s">
        <v>615</v>
      </c>
      <c r="D69" s="152" t="s">
        <v>559</v>
      </c>
      <c r="E69" s="153" t="s">
        <v>336</v>
      </c>
    </row>
    <row r="70" spans="1:5" ht="12.75" customHeight="1" x14ac:dyDescent="0.2">
      <c r="A70" s="150"/>
      <c r="B70" s="150"/>
      <c r="C70" s="151" t="s">
        <v>256</v>
      </c>
      <c r="D70" s="152" t="s">
        <v>559</v>
      </c>
      <c r="E70" s="153" t="s">
        <v>777</v>
      </c>
    </row>
    <row r="71" spans="1:5" ht="12.75" customHeight="1" x14ac:dyDescent="0.2">
      <c r="A71" s="150"/>
      <c r="B71" s="150"/>
      <c r="C71" s="151" t="s">
        <v>457</v>
      </c>
      <c r="D71" s="152" t="s">
        <v>559</v>
      </c>
      <c r="E71" s="153" t="s">
        <v>584</v>
      </c>
    </row>
    <row r="72" spans="1:5" ht="12.75" customHeight="1" x14ac:dyDescent="0.2">
      <c r="A72" s="92"/>
      <c r="B72" s="92"/>
      <c r="C72" s="154"/>
      <c r="D72" s="155"/>
      <c r="E72" s="92"/>
    </row>
    <row r="73" spans="1:5" ht="12.75" customHeight="1" x14ac:dyDescent="0.2">
      <c r="A73" s="150" t="s">
        <v>478</v>
      </c>
      <c r="B73" s="150" t="str">
        <f>Labels!B29</f>
        <v>Invest by Origin ex-Div</v>
      </c>
      <c r="C73" s="151" t="s">
        <v>84</v>
      </c>
      <c r="D73" s="152" t="s">
        <v>559</v>
      </c>
      <c r="E73" s="153" t="s">
        <v>568</v>
      </c>
    </row>
    <row r="74" spans="1:5" ht="12.75" customHeight="1" x14ac:dyDescent="0.2">
      <c r="A74" s="92"/>
      <c r="B74" s="92"/>
      <c r="C74" s="154"/>
      <c r="D74" s="155"/>
      <c r="E74" s="92"/>
    </row>
    <row r="75" spans="1:5" ht="12.75" customHeight="1" x14ac:dyDescent="0.2">
      <c r="A75" s="150" t="s">
        <v>446</v>
      </c>
      <c r="B75" s="150" t="str">
        <f>Labels!B30</f>
        <v>Invest by Origin Options</v>
      </c>
      <c r="C75" s="151" t="s">
        <v>734</v>
      </c>
      <c r="D75" s="152" t="s">
        <v>559</v>
      </c>
      <c r="E75" s="153" t="s">
        <v>534</v>
      </c>
    </row>
    <row r="76" spans="1:5" ht="12.75" customHeight="1" x14ac:dyDescent="0.2">
      <c r="A76" s="92"/>
      <c r="B76" s="92"/>
      <c r="C76" s="154"/>
      <c r="D76" s="155"/>
      <c r="E76" s="92"/>
    </row>
    <row r="77" spans="1:5" ht="12.75" customHeight="1" x14ac:dyDescent="0.2">
      <c r="A77" s="150" t="s">
        <v>810</v>
      </c>
      <c r="B77" s="150" t="str">
        <f>Labels!B31</f>
        <v>Invest by Origin Preferred</v>
      </c>
      <c r="C77" s="151" t="s">
        <v>734</v>
      </c>
      <c r="D77" s="152" t="s">
        <v>559</v>
      </c>
      <c r="E77" s="153" t="s">
        <v>331</v>
      </c>
    </row>
    <row r="78" spans="1:5" ht="12.75" customHeight="1" x14ac:dyDescent="0.2">
      <c r="A78" s="92"/>
      <c r="B78" s="92"/>
      <c r="C78" s="154"/>
      <c r="D78" s="155"/>
      <c r="E78" s="92"/>
    </row>
    <row r="79" spans="1:5" ht="12.75" customHeight="1" x14ac:dyDescent="0.2">
      <c r="A79" s="150" t="s">
        <v>757</v>
      </c>
      <c r="B79" s="150" t="str">
        <f>Labels!B32</f>
        <v>Invest by Origin Warrants</v>
      </c>
      <c r="C79" s="151" t="s">
        <v>734</v>
      </c>
      <c r="D79" s="152" t="s">
        <v>559</v>
      </c>
      <c r="E79" s="153" t="s">
        <v>418</v>
      </c>
    </row>
    <row r="80" spans="1:5" ht="12.75" customHeight="1" x14ac:dyDescent="0.2">
      <c r="A80" s="92"/>
      <c r="B80" s="92"/>
      <c r="C80" s="154"/>
      <c r="D80" s="155"/>
      <c r="E80" s="92"/>
    </row>
    <row r="81" spans="1:5" ht="12.75" customHeight="1" x14ac:dyDescent="0.2">
      <c r="A81" s="150" t="s">
        <v>404</v>
      </c>
      <c r="B81" s="150" t="str">
        <f>Labels!B33</f>
        <v>Invest End of Round Common</v>
      </c>
      <c r="C81" s="151" t="s">
        <v>734</v>
      </c>
      <c r="D81" s="152" t="s">
        <v>559</v>
      </c>
      <c r="E81" s="153" t="s">
        <v>629</v>
      </c>
    </row>
    <row r="82" spans="1:5" ht="12.75" customHeight="1" x14ac:dyDescent="0.2">
      <c r="A82" s="92"/>
      <c r="B82" s="92"/>
      <c r="C82" s="154"/>
      <c r="D82" s="155"/>
      <c r="E82" s="92"/>
    </row>
    <row r="83" spans="1:5" ht="12.75" customHeight="1" x14ac:dyDescent="0.2">
      <c r="A83" s="150" t="s">
        <v>143</v>
      </c>
      <c r="B83" s="150" t="str">
        <f>Labels!B34</f>
        <v>Invest End Round Notes</v>
      </c>
      <c r="C83" s="151" t="s">
        <v>734</v>
      </c>
      <c r="D83" s="152" t="s">
        <v>559</v>
      </c>
      <c r="E83" s="153" t="s">
        <v>133</v>
      </c>
    </row>
    <row r="84" spans="1:5" ht="12.75" customHeight="1" x14ac:dyDescent="0.2">
      <c r="A84" s="92"/>
      <c r="B84" s="92"/>
      <c r="C84" s="154"/>
      <c r="D84" s="155"/>
      <c r="E84" s="92"/>
    </row>
    <row r="85" spans="1:5" ht="12.75" customHeight="1" x14ac:dyDescent="0.2">
      <c r="A85" s="150" t="s">
        <v>396</v>
      </c>
      <c r="B85" s="150" t="str">
        <f>Labels!B35</f>
        <v>Invest End Round Options</v>
      </c>
      <c r="C85" s="151" t="s">
        <v>734</v>
      </c>
      <c r="D85" s="152" t="s">
        <v>559</v>
      </c>
      <c r="E85" s="153" t="s">
        <v>552</v>
      </c>
    </row>
    <row r="86" spans="1:5" ht="12.75" customHeight="1" x14ac:dyDescent="0.2">
      <c r="A86" s="92"/>
      <c r="B86" s="92"/>
      <c r="C86" s="154"/>
      <c r="D86" s="155"/>
      <c r="E86" s="92"/>
    </row>
    <row r="87" spans="1:5" ht="12.75" customHeight="1" x14ac:dyDescent="0.2">
      <c r="A87" s="150" t="s">
        <v>152</v>
      </c>
      <c r="B87" s="150" t="str">
        <f>Labels!B36</f>
        <v>Invest End Round Preferred</v>
      </c>
      <c r="C87" s="151" t="s">
        <v>734</v>
      </c>
      <c r="D87" s="152" t="s">
        <v>559</v>
      </c>
      <c r="E87" s="153" t="s">
        <v>599</v>
      </c>
    </row>
    <row r="88" spans="1:5" ht="12.75" customHeight="1" x14ac:dyDescent="0.2">
      <c r="A88" s="92"/>
      <c r="B88" s="92"/>
      <c r="C88" s="154"/>
      <c r="D88" s="155"/>
      <c r="E88" s="92"/>
    </row>
    <row r="89" spans="1:5" ht="12.75" customHeight="1" x14ac:dyDescent="0.2">
      <c r="A89" s="150" t="s">
        <v>508</v>
      </c>
      <c r="B89" s="150" t="str">
        <f>Labels!B37</f>
        <v>Invest End Round Warrants</v>
      </c>
      <c r="C89" s="151" t="s">
        <v>734</v>
      </c>
      <c r="D89" s="152" t="s">
        <v>559</v>
      </c>
      <c r="E89" s="153" t="s">
        <v>726</v>
      </c>
    </row>
    <row r="90" spans="1:5" ht="12.75" customHeight="1" x14ac:dyDescent="0.2">
      <c r="A90" s="92"/>
      <c r="B90" s="92"/>
      <c r="C90" s="154"/>
      <c r="D90" s="155"/>
      <c r="E90" s="92"/>
    </row>
    <row r="91" spans="1:5" ht="12.75" customHeight="1" x14ac:dyDescent="0.2">
      <c r="A91" s="150" t="s">
        <v>336</v>
      </c>
      <c r="B91" s="150" t="str">
        <f>Labels!B38</f>
        <v>Investment by Origin</v>
      </c>
      <c r="C91" s="151" t="s">
        <v>743</v>
      </c>
      <c r="D91" s="152" t="s">
        <v>559</v>
      </c>
      <c r="E91" s="153" t="s">
        <v>6</v>
      </c>
    </row>
    <row r="92" spans="1:5" ht="12.75" customHeight="1" x14ac:dyDescent="0.2">
      <c r="A92" s="150"/>
      <c r="B92" s="150"/>
      <c r="C92" s="151" t="s">
        <v>224</v>
      </c>
      <c r="D92" s="152" t="s">
        <v>559</v>
      </c>
      <c r="E92" s="153" t="s">
        <v>6</v>
      </c>
    </row>
    <row r="93" spans="1:5" ht="12.75" customHeight="1" x14ac:dyDescent="0.2">
      <c r="A93" s="150"/>
      <c r="B93" s="150"/>
      <c r="C93" s="151" t="s">
        <v>615</v>
      </c>
      <c r="D93" s="152" t="s">
        <v>559</v>
      </c>
      <c r="E93" s="153" t="s">
        <v>518</v>
      </c>
    </row>
    <row r="94" spans="1:5" ht="12.75" customHeight="1" x14ac:dyDescent="0.2">
      <c r="A94" s="150"/>
      <c r="B94" s="150"/>
      <c r="C94" s="151" t="s">
        <v>457</v>
      </c>
      <c r="D94" s="152" t="s">
        <v>559</v>
      </c>
      <c r="E94" s="153" t="s">
        <v>513</v>
      </c>
    </row>
    <row r="95" spans="1:5" ht="12.75" customHeight="1" x14ac:dyDescent="0.2">
      <c r="A95" s="150"/>
      <c r="B95" s="150"/>
      <c r="C95" s="151" t="s">
        <v>574</v>
      </c>
      <c r="D95" s="152" t="s">
        <v>559</v>
      </c>
      <c r="E95" s="153" t="s">
        <v>124</v>
      </c>
    </row>
    <row r="96" spans="1:5" ht="12.75" customHeight="1" x14ac:dyDescent="0.2">
      <c r="A96" s="150"/>
      <c r="B96" s="150"/>
      <c r="C96" s="151" t="s">
        <v>256</v>
      </c>
      <c r="D96" s="152" t="s">
        <v>559</v>
      </c>
      <c r="E96" s="153" t="s">
        <v>481</v>
      </c>
    </row>
    <row r="97" spans="1:5" ht="12.75" customHeight="1" x14ac:dyDescent="0.2">
      <c r="A97" s="92"/>
      <c r="B97" s="92"/>
      <c r="C97" s="154"/>
      <c r="D97" s="155"/>
      <c r="E97" s="92"/>
    </row>
    <row r="98" spans="1:5" ht="12.75" customHeight="1" x14ac:dyDescent="0.2">
      <c r="A98" s="150" t="s">
        <v>518</v>
      </c>
      <c r="B98" s="150" t="str">
        <f>Labels!B39</f>
        <v>Net Investment</v>
      </c>
      <c r="C98" s="151" t="s">
        <v>243</v>
      </c>
      <c r="D98" s="152" t="s">
        <v>559</v>
      </c>
      <c r="E98" s="153" t="s">
        <v>532</v>
      </c>
    </row>
    <row r="99" spans="1:5" ht="12.75" customHeight="1" x14ac:dyDescent="0.2">
      <c r="A99" s="150"/>
      <c r="B99" s="150"/>
      <c r="C99" s="151" t="s">
        <v>318</v>
      </c>
      <c r="D99" s="152" t="s">
        <v>559</v>
      </c>
      <c r="E99" s="153" t="s">
        <v>354</v>
      </c>
    </row>
    <row r="100" spans="1:5" ht="12.75" customHeight="1" x14ac:dyDescent="0.2">
      <c r="A100" s="150"/>
      <c r="B100" s="150"/>
      <c r="C100" s="151" t="s">
        <v>437</v>
      </c>
      <c r="D100" s="152" t="s">
        <v>559</v>
      </c>
      <c r="E100" s="153" t="s">
        <v>354</v>
      </c>
    </row>
    <row r="101" spans="1:5" ht="12.75" customHeight="1" x14ac:dyDescent="0.2">
      <c r="A101" s="150"/>
      <c r="B101" s="150"/>
      <c r="C101" s="151" t="s">
        <v>256</v>
      </c>
      <c r="D101" s="152" t="s">
        <v>559</v>
      </c>
      <c r="E101" s="153" t="s">
        <v>713</v>
      </c>
    </row>
    <row r="102" spans="1:5" ht="12.75" customHeight="1" x14ac:dyDescent="0.2">
      <c r="A102" s="150"/>
      <c r="B102" s="150"/>
      <c r="C102" s="151" t="s">
        <v>457</v>
      </c>
      <c r="D102" s="152" t="s">
        <v>559</v>
      </c>
      <c r="E102" s="153" t="s">
        <v>282</v>
      </c>
    </row>
    <row r="103" spans="1:5" ht="12.75" customHeight="1" x14ac:dyDescent="0.2">
      <c r="A103" s="150"/>
      <c r="B103" s="150"/>
      <c r="C103" s="151" t="s">
        <v>574</v>
      </c>
      <c r="D103" s="152" t="s">
        <v>559</v>
      </c>
      <c r="E103" s="153" t="s">
        <v>512</v>
      </c>
    </row>
    <row r="104" spans="1:5" ht="12.75" customHeight="1" x14ac:dyDescent="0.2">
      <c r="A104" s="150"/>
      <c r="B104" s="150"/>
      <c r="C104" s="151" t="s">
        <v>615</v>
      </c>
      <c r="D104" s="152" t="s">
        <v>559</v>
      </c>
      <c r="E104" s="153" t="s">
        <v>309</v>
      </c>
    </row>
    <row r="105" spans="1:5" ht="12.75" customHeight="1" x14ac:dyDescent="0.2">
      <c r="A105" s="150"/>
      <c r="B105" s="150"/>
      <c r="C105" s="151" t="s">
        <v>369</v>
      </c>
      <c r="D105" s="152" t="s">
        <v>559</v>
      </c>
      <c r="E105" s="153" t="s">
        <v>488</v>
      </c>
    </row>
    <row r="106" spans="1:5" ht="12.75" customHeight="1" x14ac:dyDescent="0.2">
      <c r="A106" s="92"/>
      <c r="B106" s="92"/>
      <c r="C106" s="154"/>
      <c r="D106" s="155"/>
      <c r="E106" s="92"/>
    </row>
    <row r="107" spans="1:5" ht="12.75" customHeight="1" x14ac:dyDescent="0.2">
      <c r="A107" s="150" t="s">
        <v>341</v>
      </c>
      <c r="B107" s="150" t="str">
        <f>Labels!B40</f>
        <v>Net Investment</v>
      </c>
      <c r="C107" s="151" t="s">
        <v>734</v>
      </c>
      <c r="D107" s="152" t="s">
        <v>559</v>
      </c>
      <c r="E107" s="153" t="s">
        <v>515</v>
      </c>
    </row>
    <row r="108" spans="1:5" ht="12.75" customHeight="1" x14ac:dyDescent="0.2">
      <c r="A108" s="92"/>
      <c r="B108" s="92"/>
      <c r="C108" s="154"/>
      <c r="D108" s="155"/>
      <c r="E108" s="92"/>
    </row>
    <row r="109" spans="1:5" ht="12.75" customHeight="1" x14ac:dyDescent="0.2">
      <c r="A109" s="150" t="s">
        <v>259</v>
      </c>
      <c r="B109" s="150" t="str">
        <f>Labels!B41</f>
        <v>Net New Invest</v>
      </c>
      <c r="C109" s="151" t="s">
        <v>734</v>
      </c>
      <c r="D109" s="152" t="s">
        <v>559</v>
      </c>
      <c r="E109" s="153" t="s">
        <v>8</v>
      </c>
    </row>
    <row r="110" spans="1:5" ht="12.75" customHeight="1" x14ac:dyDescent="0.2">
      <c r="A110" s="92"/>
      <c r="B110" s="92"/>
      <c r="C110" s="154"/>
      <c r="D110" s="155"/>
      <c r="E110" s="92"/>
    </row>
    <row r="111" spans="1:5" ht="12.75" customHeight="1" x14ac:dyDescent="0.2">
      <c r="A111" s="150" t="s">
        <v>309</v>
      </c>
      <c r="B111" s="150" t="str">
        <f>Labels!B42</f>
        <v>New Investment</v>
      </c>
      <c r="C111" s="151" t="s">
        <v>135</v>
      </c>
      <c r="D111" s="152" t="s">
        <v>559</v>
      </c>
      <c r="E111" s="153" t="s">
        <v>505</v>
      </c>
    </row>
    <row r="112" spans="1:5" ht="12.75" customHeight="1" x14ac:dyDescent="0.2">
      <c r="A112" s="92"/>
      <c r="B112" s="92"/>
      <c r="C112" s="154"/>
      <c r="D112" s="155"/>
      <c r="E112" s="92"/>
    </row>
    <row r="113" spans="1:5" ht="12.75" customHeight="1" x14ac:dyDescent="0.2">
      <c r="A113" s="150" t="s">
        <v>505</v>
      </c>
      <c r="B113" s="150" t="str">
        <f>Labels!B43</f>
        <v>New Investment</v>
      </c>
      <c r="C113" s="151" t="s">
        <v>135</v>
      </c>
      <c r="D113" s="152" t="s">
        <v>559</v>
      </c>
      <c r="E113" s="153" t="s">
        <v>75</v>
      </c>
    </row>
    <row r="114" spans="1:5" ht="12.75" customHeight="1" x14ac:dyDescent="0.2">
      <c r="A114" s="92"/>
      <c r="B114" s="92"/>
      <c r="C114" s="154"/>
      <c r="D114" s="155"/>
      <c r="E114" s="92"/>
    </row>
    <row r="115" spans="1:5" ht="12.75" customHeight="1" x14ac:dyDescent="0.2">
      <c r="A115" s="150" t="s">
        <v>206</v>
      </c>
      <c r="B115" s="150" t="str">
        <f>Labels!B44</f>
        <v>Cash Flow</v>
      </c>
      <c r="C115" s="151" t="s">
        <v>319</v>
      </c>
      <c r="D115" s="152" t="s">
        <v>559</v>
      </c>
      <c r="E115" s="153" t="s">
        <v>486</v>
      </c>
    </row>
    <row r="116" spans="1:5" ht="12.75" customHeight="1" x14ac:dyDescent="0.2">
      <c r="A116" s="150"/>
      <c r="B116" s="150"/>
      <c r="C116" s="151"/>
      <c r="D116" s="152" t="s">
        <v>111</v>
      </c>
      <c r="E116" s="153" t="s">
        <v>379</v>
      </c>
    </row>
    <row r="117" spans="1:5" ht="12.75" customHeight="1" x14ac:dyDescent="0.2">
      <c r="A117" s="92"/>
      <c r="B117" s="92"/>
      <c r="C117" s="154"/>
      <c r="D117" s="155"/>
      <c r="E117" s="92"/>
    </row>
    <row r="118" spans="1:5" ht="12.75" customHeight="1" x14ac:dyDescent="0.2">
      <c r="A118" s="150" t="s">
        <v>722</v>
      </c>
      <c r="B118" s="150" t="str">
        <f>Labels!B45</f>
        <v>IRR Initial Guess (Yr)</v>
      </c>
      <c r="C118" s="151"/>
      <c r="D118" s="152"/>
      <c r="E118" s="153"/>
    </row>
    <row r="119" spans="1:5" ht="12.75" customHeight="1" x14ac:dyDescent="0.2">
      <c r="A119" s="92"/>
      <c r="B119" s="92"/>
      <c r="C119" s="154"/>
      <c r="D119" s="155"/>
      <c r="E119" s="92"/>
    </row>
    <row r="120" spans="1:5" ht="12.75" customHeight="1" x14ac:dyDescent="0.2">
      <c r="A120" s="150" t="s">
        <v>351</v>
      </c>
      <c r="B120" s="150" t="str">
        <f>Labels!B46</f>
        <v>IRR (Yr)</v>
      </c>
      <c r="C120" s="151" t="s">
        <v>72</v>
      </c>
      <c r="D120" s="152" t="s">
        <v>111</v>
      </c>
      <c r="E120" s="153" t="s">
        <v>604</v>
      </c>
    </row>
    <row r="121" spans="1:5" ht="12.75" customHeight="1" x14ac:dyDescent="0.2">
      <c r="A121" s="92"/>
      <c r="B121" s="92"/>
      <c r="C121" s="154"/>
      <c r="D121" s="155"/>
      <c r="E121" s="92"/>
    </row>
    <row r="122" spans="1:5" ht="12.75" customHeight="1" x14ac:dyDescent="0.2">
      <c r="A122" s="150" t="s">
        <v>327</v>
      </c>
      <c r="B122" s="150" t="str">
        <f>Labels!B47</f>
        <v>Liq Multiple</v>
      </c>
      <c r="C122" s="151"/>
      <c r="D122" s="152"/>
      <c r="E122" s="153"/>
    </row>
    <row r="123" spans="1:5" ht="12.75" customHeight="1" x14ac:dyDescent="0.2">
      <c r="A123" s="92"/>
      <c r="B123" s="92"/>
      <c r="C123" s="154"/>
      <c r="D123" s="155"/>
      <c r="E123" s="92"/>
    </row>
    <row r="124" spans="1:5" ht="12.75" customHeight="1" x14ac:dyDescent="0.2">
      <c r="A124" s="150" t="s">
        <v>739</v>
      </c>
      <c r="B124" s="150" t="str">
        <f>Labels!B48</f>
        <v>Liquidation Preference</v>
      </c>
      <c r="C124" s="151" t="s">
        <v>135</v>
      </c>
      <c r="D124" s="152" t="s">
        <v>559</v>
      </c>
      <c r="E124" s="153" t="s">
        <v>754</v>
      </c>
    </row>
    <row r="125" spans="1:5" ht="12.75" customHeight="1" x14ac:dyDescent="0.2">
      <c r="A125" s="92"/>
      <c r="B125" s="92"/>
      <c r="C125" s="154"/>
      <c r="D125" s="155"/>
      <c r="E125" s="92"/>
    </row>
    <row r="126" spans="1:5" ht="12.75" customHeight="1" x14ac:dyDescent="0.2">
      <c r="A126" s="150" t="s">
        <v>578</v>
      </c>
      <c r="B126" s="150" t="str">
        <f>Labels!B49</f>
        <v>Liq Preference</v>
      </c>
      <c r="C126" s="151" t="s">
        <v>72</v>
      </c>
      <c r="D126" s="152" t="s">
        <v>559</v>
      </c>
      <c r="E126" s="153" t="s">
        <v>747</v>
      </c>
    </row>
    <row r="127" spans="1:5" ht="12.75" customHeight="1" x14ac:dyDescent="0.2">
      <c r="A127" s="92"/>
      <c r="B127" s="92"/>
      <c r="C127" s="154"/>
      <c r="D127" s="155"/>
      <c r="E127" s="92"/>
    </row>
    <row r="128" spans="1:5" ht="12.75" customHeight="1" x14ac:dyDescent="0.2">
      <c r="A128" s="150" t="s">
        <v>231</v>
      </c>
      <c r="B128" s="150" t="str">
        <f>Labels!B50</f>
        <v>Liq Preference New</v>
      </c>
      <c r="C128" s="151" t="s">
        <v>135</v>
      </c>
      <c r="D128" s="152" t="s">
        <v>559</v>
      </c>
      <c r="E128" s="153" t="s">
        <v>360</v>
      </c>
    </row>
    <row r="129" spans="1:5" ht="12.75" customHeight="1" x14ac:dyDescent="0.2">
      <c r="A129" s="92"/>
      <c r="B129" s="92"/>
      <c r="C129" s="154"/>
      <c r="D129" s="155"/>
      <c r="E129" s="92"/>
    </row>
    <row r="130" spans="1:5" ht="12.75" customHeight="1" x14ac:dyDescent="0.2">
      <c r="A130" s="150" t="s">
        <v>798</v>
      </c>
      <c r="B130" s="150" t="str">
        <f>Labels!B51</f>
        <v>Net Present Value</v>
      </c>
      <c r="C130" s="151" t="s">
        <v>72</v>
      </c>
      <c r="D130" s="152" t="s">
        <v>559</v>
      </c>
      <c r="E130" s="153" t="s">
        <v>506</v>
      </c>
    </row>
    <row r="131" spans="1:5" ht="12.75" customHeight="1" x14ac:dyDescent="0.2">
      <c r="A131" s="92"/>
      <c r="B131" s="92"/>
      <c r="C131" s="154"/>
      <c r="D131" s="155"/>
      <c r="E131" s="92"/>
    </row>
    <row r="132" spans="1:5" ht="12.75" customHeight="1" x14ac:dyDescent="0.2">
      <c r="A132" s="150" t="s">
        <v>427</v>
      </c>
      <c r="B132" s="150" t="str">
        <f>Labels!B52</f>
        <v>Exercise Amt</v>
      </c>
      <c r="C132" s="151" t="s">
        <v>457</v>
      </c>
      <c r="D132" s="152" t="s">
        <v>559</v>
      </c>
      <c r="E132" s="153" t="s">
        <v>314</v>
      </c>
    </row>
    <row r="133" spans="1:5" ht="12.75" customHeight="1" x14ac:dyDescent="0.2">
      <c r="A133" s="150"/>
      <c r="B133" s="150"/>
      <c r="C133" s="151" t="s">
        <v>256</v>
      </c>
      <c r="D133" s="152" t="s">
        <v>559</v>
      </c>
      <c r="E133" s="153" t="s">
        <v>602</v>
      </c>
    </row>
    <row r="134" spans="1:5" ht="12.75" customHeight="1" x14ac:dyDescent="0.2">
      <c r="A134" s="150"/>
      <c r="B134" s="150"/>
      <c r="C134" s="151" t="s">
        <v>615</v>
      </c>
      <c r="D134" s="152" t="s">
        <v>559</v>
      </c>
      <c r="E134" s="153" t="s">
        <v>104</v>
      </c>
    </row>
    <row r="135" spans="1:5" ht="12.75" customHeight="1" x14ac:dyDescent="0.2">
      <c r="A135" s="150"/>
      <c r="B135" s="150"/>
      <c r="C135" s="151" t="s">
        <v>574</v>
      </c>
      <c r="D135" s="152" t="s">
        <v>559</v>
      </c>
      <c r="E135" s="153" t="s">
        <v>170</v>
      </c>
    </row>
    <row r="136" spans="1:5" ht="12.75" customHeight="1" x14ac:dyDescent="0.2">
      <c r="A136" s="150"/>
      <c r="B136" s="150"/>
      <c r="C136" s="151" t="s">
        <v>369</v>
      </c>
      <c r="D136" s="152" t="s">
        <v>559</v>
      </c>
      <c r="E136" s="153" t="s">
        <v>260</v>
      </c>
    </row>
    <row r="137" spans="1:5" ht="12.75" customHeight="1" x14ac:dyDescent="0.2">
      <c r="A137" s="92"/>
      <c r="B137" s="92"/>
      <c r="C137" s="154"/>
      <c r="D137" s="155"/>
      <c r="E137" s="92"/>
    </row>
    <row r="138" spans="1:5" ht="12.75" customHeight="1" x14ac:dyDescent="0.2">
      <c r="A138" s="150" t="s">
        <v>116</v>
      </c>
      <c r="B138" s="150" t="str">
        <f>Labels!B53</f>
        <v>Exercise Price</v>
      </c>
      <c r="C138" s="151"/>
      <c r="D138" s="152"/>
      <c r="E138" s="153"/>
    </row>
    <row r="139" spans="1:5" ht="12.75" customHeight="1" x14ac:dyDescent="0.2">
      <c r="A139" s="92"/>
      <c r="B139" s="92"/>
      <c r="C139" s="154"/>
      <c r="D139" s="155"/>
      <c r="E139" s="92"/>
    </row>
    <row r="140" spans="1:5" ht="12.75" customHeight="1" x14ac:dyDescent="0.2">
      <c r="A140" s="150" t="s">
        <v>520</v>
      </c>
      <c r="B140" s="150" t="str">
        <f>Labels!B54</f>
        <v>Units 'in the Money'</v>
      </c>
      <c r="C140" s="151" t="s">
        <v>773</v>
      </c>
      <c r="D140" s="152" t="s">
        <v>559</v>
      </c>
      <c r="E140" s="153" t="s">
        <v>675</v>
      </c>
    </row>
    <row r="141" spans="1:5" ht="12.75" customHeight="1" x14ac:dyDescent="0.2">
      <c r="A141" s="150"/>
      <c r="B141" s="150"/>
      <c r="C141" s="151" t="s">
        <v>44</v>
      </c>
      <c r="D141" s="152" t="s">
        <v>559</v>
      </c>
      <c r="E141" s="153" t="s">
        <v>675</v>
      </c>
    </row>
    <row r="142" spans="1:5" ht="12.75" customHeight="1" x14ac:dyDescent="0.2">
      <c r="A142" s="92"/>
      <c r="B142" s="92"/>
      <c r="C142" s="154"/>
      <c r="D142" s="155"/>
      <c r="E142" s="92"/>
    </row>
    <row r="143" spans="1:5" ht="12.75" customHeight="1" x14ac:dyDescent="0.2">
      <c r="A143" s="150" t="s">
        <v>767</v>
      </c>
      <c r="B143" s="150" t="str">
        <f>Labels!B55</f>
        <v>Payout by Origin</v>
      </c>
      <c r="C143" s="151" t="s">
        <v>118</v>
      </c>
      <c r="D143" s="152" t="s">
        <v>559</v>
      </c>
      <c r="E143" s="153" t="s">
        <v>689</v>
      </c>
    </row>
    <row r="144" spans="1:5" ht="12.75" customHeight="1" x14ac:dyDescent="0.2">
      <c r="A144" s="150"/>
      <c r="B144" s="150"/>
      <c r="C144" s="151" t="s">
        <v>135</v>
      </c>
      <c r="D144" s="152" t="s">
        <v>559</v>
      </c>
      <c r="E144" s="153" t="s">
        <v>563</v>
      </c>
    </row>
    <row r="145" spans="1:5" ht="12.75" customHeight="1" x14ac:dyDescent="0.2">
      <c r="A145" s="150"/>
      <c r="B145" s="150"/>
      <c r="C145" s="151"/>
      <c r="D145" s="152" t="s">
        <v>111</v>
      </c>
      <c r="E145" s="153" t="s">
        <v>53</v>
      </c>
    </row>
    <row r="146" spans="1:5" ht="12.75" customHeight="1" x14ac:dyDescent="0.2">
      <c r="A146" s="92"/>
      <c r="B146" s="92"/>
      <c r="C146" s="154"/>
      <c r="D146" s="155"/>
      <c r="E146" s="92"/>
    </row>
    <row r="147" spans="1:5" ht="12.75" customHeight="1" x14ac:dyDescent="0.2">
      <c r="A147" s="150" t="s">
        <v>253</v>
      </c>
      <c r="B147" s="150" t="str">
        <f>Labels!B56</f>
        <v>Payout by Origin</v>
      </c>
      <c r="C147" s="151" t="s">
        <v>72</v>
      </c>
      <c r="D147" s="152" t="s">
        <v>111</v>
      </c>
      <c r="E147" s="153" t="s">
        <v>431</v>
      </c>
    </row>
    <row r="148" spans="1:5" ht="12.75" customHeight="1" x14ac:dyDescent="0.2">
      <c r="A148" s="92"/>
      <c r="B148" s="92"/>
      <c r="C148" s="154"/>
      <c r="D148" s="155"/>
      <c r="E148" s="92"/>
    </row>
    <row r="149" spans="1:5" ht="12.75" customHeight="1" x14ac:dyDescent="0.2">
      <c r="A149" s="150" t="s">
        <v>267</v>
      </c>
      <c r="B149" s="150" t="str">
        <f>Labels!B57</f>
        <v>Payout by Origin %</v>
      </c>
      <c r="C149" s="151" t="s">
        <v>319</v>
      </c>
      <c r="D149" s="152" t="s">
        <v>111</v>
      </c>
      <c r="E149" s="153" t="s">
        <v>666</v>
      </c>
    </row>
    <row r="150" spans="1:5" ht="12.75" customHeight="1" x14ac:dyDescent="0.2">
      <c r="A150" s="92"/>
      <c r="B150" s="92"/>
      <c r="C150" s="154"/>
      <c r="D150" s="155"/>
      <c r="E150" s="92"/>
    </row>
    <row r="151" spans="1:5" ht="12.75" customHeight="1" x14ac:dyDescent="0.2">
      <c r="A151" s="150" t="s">
        <v>81</v>
      </c>
      <c r="B151" s="150" t="str">
        <f>Labels!B58</f>
        <v>Payout by Origin %</v>
      </c>
      <c r="C151" s="151" t="s">
        <v>72</v>
      </c>
      <c r="D151" s="152" t="s">
        <v>111</v>
      </c>
      <c r="E151" s="153" t="s">
        <v>365</v>
      </c>
    </row>
    <row r="152" spans="1:5" ht="12.75" customHeight="1" x14ac:dyDescent="0.2">
      <c r="A152" s="92"/>
      <c r="B152" s="92"/>
      <c r="C152" s="154"/>
      <c r="D152" s="155"/>
      <c r="E152" s="92"/>
    </row>
    <row r="153" spans="1:5" ht="12.75" customHeight="1" x14ac:dyDescent="0.2">
      <c r="A153" s="150" t="s">
        <v>220</v>
      </c>
      <c r="B153" s="150" t="str">
        <f>Labels!B59</f>
        <v>Payout</v>
      </c>
      <c r="C153" s="151" t="s">
        <v>118</v>
      </c>
      <c r="D153" s="152" t="s">
        <v>559</v>
      </c>
      <c r="E153" s="153" t="s">
        <v>39</v>
      </c>
    </row>
    <row r="154" spans="1:5" ht="12.75" customHeight="1" x14ac:dyDescent="0.2">
      <c r="A154" s="150"/>
      <c r="B154" s="150"/>
      <c r="C154" s="151" t="s">
        <v>773</v>
      </c>
      <c r="D154" s="152" t="s">
        <v>559</v>
      </c>
      <c r="E154" s="153" t="s">
        <v>406</v>
      </c>
    </row>
    <row r="155" spans="1:5" ht="12.75" customHeight="1" x14ac:dyDescent="0.2">
      <c r="A155" s="150"/>
      <c r="B155" s="150"/>
      <c r="C155" s="151" t="s">
        <v>107</v>
      </c>
      <c r="D155" s="152" t="s">
        <v>559</v>
      </c>
      <c r="E155" s="153" t="s">
        <v>441</v>
      </c>
    </row>
    <row r="156" spans="1:5" ht="12.75" customHeight="1" x14ac:dyDescent="0.2">
      <c r="A156" s="150"/>
      <c r="B156" s="150"/>
      <c r="C156" s="151" t="s">
        <v>581</v>
      </c>
      <c r="D156" s="152" t="s">
        <v>559</v>
      </c>
      <c r="E156" s="153" t="s">
        <v>226</v>
      </c>
    </row>
    <row r="157" spans="1:5" ht="12.75" customHeight="1" x14ac:dyDescent="0.2">
      <c r="A157" s="150"/>
      <c r="B157" s="150"/>
      <c r="C157" s="151" t="s">
        <v>44</v>
      </c>
      <c r="D157" s="152" t="s">
        <v>559</v>
      </c>
      <c r="E157" s="153" t="s">
        <v>406</v>
      </c>
    </row>
    <row r="158" spans="1:5" ht="12.75" customHeight="1" x14ac:dyDescent="0.2">
      <c r="A158" s="150"/>
      <c r="B158" s="150"/>
      <c r="C158" s="151" t="s">
        <v>135</v>
      </c>
      <c r="D158" s="152" t="s">
        <v>111</v>
      </c>
      <c r="E158" s="153" t="s">
        <v>442</v>
      </c>
    </row>
    <row r="159" spans="1:5" ht="12.75" customHeight="1" x14ac:dyDescent="0.2">
      <c r="A159" s="92"/>
      <c r="B159" s="92"/>
      <c r="C159" s="154"/>
      <c r="D159" s="155"/>
      <c r="E159" s="92"/>
    </row>
    <row r="160" spans="1:5" ht="12.75" customHeight="1" x14ac:dyDescent="0.2">
      <c r="A160" s="150" t="s">
        <v>237</v>
      </c>
      <c r="B160" s="150" t="str">
        <f>Labels!B60</f>
        <v>Payout %</v>
      </c>
      <c r="C160" s="151" t="s">
        <v>319</v>
      </c>
      <c r="D160" s="152" t="s">
        <v>111</v>
      </c>
      <c r="E160" s="153" t="s">
        <v>105</v>
      </c>
    </row>
    <row r="161" spans="1:5" ht="12.75" customHeight="1" x14ac:dyDescent="0.2">
      <c r="A161" s="92"/>
      <c r="B161" s="92"/>
      <c r="C161" s="154"/>
      <c r="D161" s="155"/>
      <c r="E161" s="92"/>
    </row>
    <row r="162" spans="1:5" ht="12.75" customHeight="1" x14ac:dyDescent="0.2">
      <c r="A162" s="150" t="s">
        <v>453</v>
      </c>
      <c r="B162" s="150" t="str">
        <f>Labels!B61</f>
        <v>Payout</v>
      </c>
      <c r="C162" s="151" t="s">
        <v>72</v>
      </c>
      <c r="D162" s="152" t="s">
        <v>111</v>
      </c>
      <c r="E162" s="153" t="s">
        <v>620</v>
      </c>
    </row>
    <row r="163" spans="1:5" ht="12.75" customHeight="1" x14ac:dyDescent="0.2">
      <c r="A163" s="92"/>
      <c r="B163" s="92"/>
      <c r="C163" s="154"/>
      <c r="D163" s="155"/>
      <c r="E163" s="92"/>
    </row>
    <row r="164" spans="1:5" ht="12.75" customHeight="1" x14ac:dyDescent="0.2">
      <c r="A164" s="150" t="s">
        <v>131</v>
      </c>
      <c r="B164" s="150" t="str">
        <f>Labels!B62</f>
        <v>Payout %</v>
      </c>
      <c r="C164" s="151" t="s">
        <v>72</v>
      </c>
      <c r="D164" s="152" t="s">
        <v>111</v>
      </c>
      <c r="E164" s="153" t="s">
        <v>555</v>
      </c>
    </row>
    <row r="165" spans="1:5" ht="12.75" customHeight="1" x14ac:dyDescent="0.2">
      <c r="A165" s="92"/>
      <c r="B165" s="92"/>
      <c r="C165" s="154"/>
      <c r="D165" s="155"/>
      <c r="E165" s="92"/>
    </row>
    <row r="166" spans="1:5" ht="12.75" customHeight="1" x14ac:dyDescent="0.2">
      <c r="A166" s="150" t="s">
        <v>353</v>
      </c>
      <c r="B166" s="150" t="str">
        <f>Labels!B63</f>
        <v>Payout Pool</v>
      </c>
      <c r="C166" s="151" t="s">
        <v>135</v>
      </c>
      <c r="D166" s="152" t="s">
        <v>559</v>
      </c>
      <c r="E166" s="153" t="s">
        <v>148</v>
      </c>
    </row>
    <row r="167" spans="1:5" ht="12.75" customHeight="1" x14ac:dyDescent="0.2">
      <c r="A167" s="150"/>
      <c r="B167" s="150"/>
      <c r="C167" s="151"/>
      <c r="D167" s="152" t="s">
        <v>111</v>
      </c>
      <c r="E167" s="153" t="s">
        <v>315</v>
      </c>
    </row>
    <row r="168" spans="1:5" ht="12.75" customHeight="1" x14ac:dyDescent="0.2">
      <c r="A168" s="92"/>
      <c r="B168" s="92"/>
      <c r="C168" s="154"/>
      <c r="D168" s="155"/>
      <c r="E168" s="92"/>
    </row>
    <row r="169" spans="1:5" ht="12.75" customHeight="1" x14ac:dyDescent="0.2">
      <c r="A169" s="150" t="s">
        <v>678</v>
      </c>
      <c r="B169" s="150" t="str">
        <f>Labels!B64</f>
        <v>Payout Pool</v>
      </c>
      <c r="C169" s="151" t="s">
        <v>72</v>
      </c>
      <c r="D169" s="152" t="s">
        <v>559</v>
      </c>
      <c r="E169" s="153" t="s">
        <v>169</v>
      </c>
    </row>
    <row r="170" spans="1:5" ht="12.75" customHeight="1" x14ac:dyDescent="0.2">
      <c r="A170" s="150"/>
      <c r="B170" s="150"/>
      <c r="C170" s="151"/>
      <c r="D170" s="152" t="s">
        <v>111</v>
      </c>
      <c r="E170" s="153" t="s">
        <v>315</v>
      </c>
    </row>
    <row r="171" spans="1:5" ht="12.75" customHeight="1" x14ac:dyDescent="0.2">
      <c r="A171" s="92"/>
      <c r="B171" s="92"/>
      <c r="C171" s="154"/>
      <c r="D171" s="155"/>
      <c r="E171" s="92"/>
    </row>
    <row r="172" spans="1:5" ht="12.75" customHeight="1" x14ac:dyDescent="0.2">
      <c r="A172" s="150" t="s">
        <v>102</v>
      </c>
      <c r="B172" s="150" t="str">
        <f>Labels!B65</f>
        <v>Initial Common Price</v>
      </c>
      <c r="C172" s="151"/>
      <c r="D172" s="152"/>
      <c r="E172" s="153"/>
    </row>
    <row r="173" spans="1:5" ht="12.75" customHeight="1" x14ac:dyDescent="0.2">
      <c r="A173" s="92"/>
      <c r="B173" s="92"/>
      <c r="C173" s="154"/>
      <c r="D173" s="155"/>
      <c r="E173" s="92"/>
    </row>
    <row r="174" spans="1:5" ht="12.75" customHeight="1" x14ac:dyDescent="0.2">
      <c r="A174" s="150" t="s">
        <v>258</v>
      </c>
      <c r="B174" s="150" t="str">
        <f>Labels!B66</f>
        <v>Price Premium %</v>
      </c>
      <c r="C174" s="151" t="s">
        <v>107</v>
      </c>
      <c r="D174" s="152" t="s">
        <v>559</v>
      </c>
      <c r="E174" s="153" t="s">
        <v>32</v>
      </c>
    </row>
    <row r="175" spans="1:5" ht="12.75" customHeight="1" x14ac:dyDescent="0.2">
      <c r="A175" s="150"/>
      <c r="B175" s="150"/>
      <c r="C175" s="151" t="s">
        <v>135</v>
      </c>
      <c r="D175" s="152" t="s">
        <v>559</v>
      </c>
      <c r="E175" s="153" t="s">
        <v>772</v>
      </c>
    </row>
    <row r="176" spans="1:5" ht="12.75" customHeight="1" x14ac:dyDescent="0.2">
      <c r="A176" s="92"/>
      <c r="B176" s="92"/>
      <c r="C176" s="154"/>
      <c r="D176" s="155"/>
      <c r="E176" s="92"/>
    </row>
    <row r="177" spans="1:5" ht="12.75" customHeight="1" x14ac:dyDescent="0.2">
      <c r="A177" s="150" t="s">
        <v>529</v>
      </c>
      <c r="B177" s="150" t="str">
        <f>Labels!B67</f>
        <v>Conversion Price</v>
      </c>
      <c r="C177" s="151" t="s">
        <v>118</v>
      </c>
      <c r="D177" s="152" t="s">
        <v>559</v>
      </c>
      <c r="E177" s="153" t="s">
        <v>695</v>
      </c>
    </row>
    <row r="178" spans="1:5" ht="12.75" customHeight="1" x14ac:dyDescent="0.2">
      <c r="A178" s="150"/>
      <c r="B178" s="150"/>
      <c r="C178" s="151" t="s">
        <v>773</v>
      </c>
      <c r="D178" s="152" t="s">
        <v>559</v>
      </c>
      <c r="E178" s="153" t="s">
        <v>262</v>
      </c>
    </row>
    <row r="179" spans="1:5" ht="12.75" customHeight="1" x14ac:dyDescent="0.2">
      <c r="A179" s="150"/>
      <c r="B179" s="150"/>
      <c r="C179" s="151" t="s">
        <v>107</v>
      </c>
      <c r="D179" s="152" t="s">
        <v>559</v>
      </c>
      <c r="E179" s="153" t="s">
        <v>785</v>
      </c>
    </row>
    <row r="180" spans="1:5" ht="12.75" customHeight="1" x14ac:dyDescent="0.2">
      <c r="A180" s="150"/>
      <c r="B180" s="150"/>
      <c r="C180" s="151" t="s">
        <v>44</v>
      </c>
      <c r="D180" s="152" t="s">
        <v>559</v>
      </c>
      <c r="E180" s="153" t="s">
        <v>262</v>
      </c>
    </row>
    <row r="181" spans="1:5" ht="12.75" customHeight="1" x14ac:dyDescent="0.2">
      <c r="A181" s="150"/>
      <c r="B181" s="150"/>
      <c r="C181" s="151" t="s">
        <v>581</v>
      </c>
      <c r="D181" s="152" t="s">
        <v>559</v>
      </c>
      <c r="E181" s="153" t="s">
        <v>787</v>
      </c>
    </row>
    <row r="182" spans="1:5" ht="12.75" customHeight="1" x14ac:dyDescent="0.2">
      <c r="A182" s="92"/>
      <c r="B182" s="92"/>
      <c r="C182" s="154"/>
      <c r="D182" s="155"/>
      <c r="E182" s="92"/>
    </row>
    <row r="183" spans="1:5" ht="12.75" customHeight="1" x14ac:dyDescent="0.2">
      <c r="A183" s="150" t="s">
        <v>340</v>
      </c>
      <c r="B183" s="150" t="str">
        <f>Labels!B68</f>
        <v>Price New Unit</v>
      </c>
      <c r="C183" s="151" t="s">
        <v>773</v>
      </c>
      <c r="D183" s="152" t="s">
        <v>559</v>
      </c>
      <c r="E183" s="153" t="s">
        <v>535</v>
      </c>
    </row>
    <row r="184" spans="1:5" ht="12.75" customHeight="1" x14ac:dyDescent="0.2">
      <c r="A184" s="150"/>
      <c r="B184" s="150"/>
      <c r="C184" s="151" t="s">
        <v>44</v>
      </c>
      <c r="D184" s="152" t="s">
        <v>559</v>
      </c>
      <c r="E184" s="153" t="s">
        <v>535</v>
      </c>
    </row>
    <row r="185" spans="1:5" ht="12.75" customHeight="1" x14ac:dyDescent="0.2">
      <c r="A185" s="150"/>
      <c r="B185" s="150"/>
      <c r="C185" s="151" t="s">
        <v>135</v>
      </c>
      <c r="D185" s="152" t="s">
        <v>559</v>
      </c>
      <c r="E185" s="153" t="s">
        <v>803</v>
      </c>
    </row>
    <row r="186" spans="1:5" ht="12.75" customHeight="1" x14ac:dyDescent="0.2">
      <c r="A186" s="92"/>
      <c r="B186" s="92"/>
      <c r="C186" s="154"/>
      <c r="D186" s="155"/>
      <c r="E186" s="92"/>
    </row>
    <row r="187" spans="1:5" ht="12.75" customHeight="1" x14ac:dyDescent="0.2">
      <c r="A187" s="150" t="s">
        <v>338</v>
      </c>
      <c r="B187" s="150" t="str">
        <f>Labels!B69</f>
        <v>New Unit Price %</v>
      </c>
      <c r="C187" s="151"/>
      <c r="D187" s="152"/>
      <c r="E187" s="153"/>
    </row>
    <row r="188" spans="1:5" ht="12.75" customHeight="1" x14ac:dyDescent="0.2">
      <c r="A188" s="92"/>
      <c r="B188" s="92"/>
      <c r="C188" s="154"/>
      <c r="D188" s="155"/>
      <c r="E188" s="92"/>
    </row>
    <row r="189" spans="1:5" ht="12.75" customHeight="1" x14ac:dyDescent="0.2">
      <c r="A189" s="150" t="s">
        <v>803</v>
      </c>
      <c r="B189" s="150" t="str">
        <f>Labels!B70</f>
        <v>Share Price</v>
      </c>
      <c r="C189" s="151" t="s">
        <v>118</v>
      </c>
      <c r="D189" s="152" t="s">
        <v>559</v>
      </c>
      <c r="E189" s="153" t="s">
        <v>735</v>
      </c>
    </row>
    <row r="190" spans="1:5" ht="12.75" customHeight="1" x14ac:dyDescent="0.2">
      <c r="A190" s="150"/>
      <c r="B190" s="150"/>
      <c r="C190" s="151" t="s">
        <v>773</v>
      </c>
      <c r="D190" s="152" t="s">
        <v>559</v>
      </c>
      <c r="E190" s="153" t="s">
        <v>221</v>
      </c>
    </row>
    <row r="191" spans="1:5" ht="12.75" customHeight="1" x14ac:dyDescent="0.2">
      <c r="A191" s="150"/>
      <c r="B191" s="150"/>
      <c r="C191" s="151" t="s">
        <v>44</v>
      </c>
      <c r="D191" s="152" t="s">
        <v>559</v>
      </c>
      <c r="E191" s="153" t="s">
        <v>221</v>
      </c>
    </row>
    <row r="192" spans="1:5" ht="12.75" customHeight="1" x14ac:dyDescent="0.2">
      <c r="A192" s="150"/>
      <c r="B192" s="150"/>
      <c r="C192" s="151" t="s">
        <v>107</v>
      </c>
      <c r="D192" s="152" t="s">
        <v>559</v>
      </c>
      <c r="E192" s="153" t="s">
        <v>255</v>
      </c>
    </row>
    <row r="193" spans="1:5" ht="12.75" customHeight="1" x14ac:dyDescent="0.2">
      <c r="A193" s="150"/>
      <c r="B193" s="150"/>
      <c r="C193" s="151" t="s">
        <v>135</v>
      </c>
      <c r="D193" s="152" t="s">
        <v>111</v>
      </c>
      <c r="E193" s="153" t="s">
        <v>304</v>
      </c>
    </row>
    <row r="194" spans="1:5" ht="12.75" customHeight="1" x14ac:dyDescent="0.2">
      <c r="A194" s="92"/>
      <c r="B194" s="92"/>
      <c r="C194" s="154"/>
      <c r="D194" s="155"/>
      <c r="E194" s="92"/>
    </row>
    <row r="195" spans="1:5" ht="12.75" customHeight="1" x14ac:dyDescent="0.2">
      <c r="A195" s="150" t="s">
        <v>690</v>
      </c>
      <c r="B195" s="150" t="str">
        <f>Labels!B71</f>
        <v>Return Multiple</v>
      </c>
      <c r="C195" s="151" t="s">
        <v>72</v>
      </c>
      <c r="D195" s="152" t="s">
        <v>111</v>
      </c>
      <c r="E195" s="153" t="s">
        <v>223</v>
      </c>
    </row>
    <row r="196" spans="1:5" ht="12.75" customHeight="1" x14ac:dyDescent="0.2">
      <c r="A196" s="92"/>
      <c r="B196" s="92"/>
      <c r="C196" s="154"/>
      <c r="D196" s="155"/>
      <c r="E196" s="92"/>
    </row>
    <row r="197" spans="1:5" ht="12.75" customHeight="1" x14ac:dyDescent="0.2">
      <c r="A197" s="150" t="s">
        <v>557</v>
      </c>
      <c r="B197" s="150" t="str">
        <f>Labels!B72</f>
        <v>Rounds</v>
      </c>
      <c r="C197" s="151" t="s">
        <v>734</v>
      </c>
      <c r="D197" s="152" t="s">
        <v>559</v>
      </c>
      <c r="E197" s="153" t="s">
        <v>576</v>
      </c>
    </row>
    <row r="198" spans="1:5" ht="12.75" customHeight="1" x14ac:dyDescent="0.2">
      <c r="A198" s="92"/>
      <c r="B198" s="92"/>
      <c r="C198" s="154"/>
      <c r="D198" s="155"/>
      <c r="E198" s="92"/>
    </row>
    <row r="199" spans="1:5" ht="12.75" customHeight="1" x14ac:dyDescent="0.2">
      <c r="A199" s="150" t="s">
        <v>52</v>
      </c>
      <c r="B199" s="150" t="str">
        <f>Labels!B73</f>
        <v>Investment Scenarios</v>
      </c>
      <c r="C199" s="151" t="s">
        <v>591</v>
      </c>
      <c r="D199" s="152" t="s">
        <v>559</v>
      </c>
      <c r="E199" s="153" t="s">
        <v>766</v>
      </c>
    </row>
    <row r="200" spans="1:5" ht="12.75" customHeight="1" x14ac:dyDescent="0.2">
      <c r="A200" s="92"/>
      <c r="B200" s="92"/>
      <c r="C200" s="154"/>
      <c r="D200" s="155"/>
      <c r="E200" s="92"/>
    </row>
    <row r="201" spans="1:5" ht="12.75" customHeight="1" x14ac:dyDescent="0.2">
      <c r="A201" s="150" t="s">
        <v>306</v>
      </c>
      <c r="B201" s="150" t="str">
        <f>Labels!B74</f>
        <v>Scenarios_Value_Dim</v>
      </c>
      <c r="C201" s="151" t="s">
        <v>120</v>
      </c>
      <c r="D201" s="152" t="s">
        <v>559</v>
      </c>
      <c r="E201" s="153" t="s">
        <v>147</v>
      </c>
    </row>
    <row r="202" spans="1:5" ht="12.75" customHeight="1" x14ac:dyDescent="0.2">
      <c r="A202" s="92"/>
      <c r="B202" s="92"/>
      <c r="C202" s="154"/>
      <c r="D202" s="155"/>
      <c r="E202" s="92"/>
    </row>
    <row r="203" spans="1:5" ht="12.75" customHeight="1" x14ac:dyDescent="0.2">
      <c r="A203" s="150" t="s">
        <v>195</v>
      </c>
      <c r="B203" s="150" t="str">
        <f>Labels!B75</f>
        <v>Securities</v>
      </c>
      <c r="C203" s="151" t="s">
        <v>72</v>
      </c>
      <c r="D203" s="152" t="s">
        <v>559</v>
      </c>
      <c r="E203" s="153" t="s">
        <v>294</v>
      </c>
    </row>
    <row r="204" spans="1:5" ht="12.75" customHeight="1" x14ac:dyDescent="0.2">
      <c r="A204" s="92"/>
      <c r="B204" s="92"/>
      <c r="C204" s="154"/>
      <c r="D204" s="155"/>
      <c r="E204" s="92"/>
    </row>
    <row r="205" spans="1:5" ht="12.75" customHeight="1" x14ac:dyDescent="0.2">
      <c r="A205" s="150" t="s">
        <v>287</v>
      </c>
      <c r="B205" s="150" t="str">
        <f>Labels!B76</f>
        <v>Common Shares by Origin</v>
      </c>
      <c r="C205" s="151" t="s">
        <v>118</v>
      </c>
      <c r="D205" s="152" t="s">
        <v>559</v>
      </c>
      <c r="E205" s="153" t="s">
        <v>114</v>
      </c>
    </row>
    <row r="206" spans="1:5" ht="12.75" customHeight="1" x14ac:dyDescent="0.2">
      <c r="A206" s="150"/>
      <c r="B206" s="150"/>
      <c r="C206" s="151" t="s">
        <v>135</v>
      </c>
      <c r="D206" s="152" t="s">
        <v>559</v>
      </c>
      <c r="E206" s="153" t="s">
        <v>200</v>
      </c>
    </row>
    <row r="207" spans="1:5" ht="12.75" customHeight="1" x14ac:dyDescent="0.2">
      <c r="A207" s="150"/>
      <c r="B207" s="150"/>
      <c r="C207" s="151"/>
      <c r="D207" s="152" t="s">
        <v>111</v>
      </c>
      <c r="E207" s="153" t="s">
        <v>230</v>
      </c>
    </row>
    <row r="208" spans="1:5" ht="12.75" customHeight="1" x14ac:dyDescent="0.2">
      <c r="A208" s="92"/>
      <c r="B208" s="92"/>
      <c r="C208" s="154"/>
      <c r="D208" s="155"/>
      <c r="E208" s="92"/>
    </row>
    <row r="209" spans="1:5" ht="12.75" customHeight="1" x14ac:dyDescent="0.2">
      <c r="A209" s="150" t="s">
        <v>40</v>
      </c>
      <c r="B209" s="150" t="str">
        <f>Labels!B77</f>
        <v>Split Factor</v>
      </c>
      <c r="C209" s="151"/>
      <c r="D209" s="152"/>
      <c r="E209" s="153"/>
    </row>
    <row r="210" spans="1:5" ht="12.75" customHeight="1" x14ac:dyDescent="0.2">
      <c r="A210" s="92"/>
      <c r="B210" s="92"/>
      <c r="C210" s="154"/>
      <c r="D210" s="155"/>
      <c r="E210" s="92"/>
    </row>
    <row r="211" spans="1:5" ht="12.75" customHeight="1" x14ac:dyDescent="0.2">
      <c r="A211" s="150" t="s">
        <v>93</v>
      </c>
      <c r="B211" s="150" t="str">
        <f>Labels!B78</f>
        <v>Net Units</v>
      </c>
      <c r="C211" s="151" t="s">
        <v>243</v>
      </c>
      <c r="D211" s="152" t="s">
        <v>559</v>
      </c>
      <c r="E211" s="153" t="s">
        <v>438</v>
      </c>
    </row>
    <row r="212" spans="1:5" ht="12.75" customHeight="1" x14ac:dyDescent="0.2">
      <c r="A212" s="150"/>
      <c r="B212" s="150"/>
      <c r="C212" s="151" t="s">
        <v>316</v>
      </c>
      <c r="D212" s="152" t="s">
        <v>559</v>
      </c>
      <c r="E212" s="153" t="s">
        <v>756</v>
      </c>
    </row>
    <row r="213" spans="1:5" ht="12.75" customHeight="1" x14ac:dyDescent="0.2">
      <c r="A213" s="150"/>
      <c r="B213" s="150"/>
      <c r="C213" s="151" t="s">
        <v>566</v>
      </c>
      <c r="D213" s="152" t="s">
        <v>559</v>
      </c>
      <c r="E213" s="153" t="s">
        <v>496</v>
      </c>
    </row>
    <row r="214" spans="1:5" ht="12.75" customHeight="1" x14ac:dyDescent="0.2">
      <c r="A214" s="150"/>
      <c r="B214" s="150"/>
      <c r="C214" s="151" t="s">
        <v>572</v>
      </c>
      <c r="D214" s="152" t="s">
        <v>559</v>
      </c>
      <c r="E214" s="153" t="s">
        <v>270</v>
      </c>
    </row>
    <row r="215" spans="1:5" ht="12.75" customHeight="1" x14ac:dyDescent="0.2">
      <c r="A215" s="150"/>
      <c r="B215" s="150"/>
      <c r="C215" s="151" t="s">
        <v>615</v>
      </c>
      <c r="D215" s="152" t="s">
        <v>559</v>
      </c>
      <c r="E215" s="153" t="s">
        <v>92</v>
      </c>
    </row>
    <row r="216" spans="1:5" ht="12.75" customHeight="1" x14ac:dyDescent="0.2">
      <c r="A216" s="150"/>
      <c r="B216" s="150"/>
      <c r="C216" s="151" t="s">
        <v>256</v>
      </c>
      <c r="D216" s="152" t="s">
        <v>559</v>
      </c>
      <c r="E216" s="153" t="s">
        <v>292</v>
      </c>
    </row>
    <row r="217" spans="1:5" ht="12.75" customHeight="1" x14ac:dyDescent="0.2">
      <c r="A217" s="150"/>
      <c r="B217" s="150"/>
      <c r="C217" s="151" t="s">
        <v>369</v>
      </c>
      <c r="D217" s="152" t="s">
        <v>559</v>
      </c>
      <c r="E217" s="153" t="s">
        <v>106</v>
      </c>
    </row>
    <row r="218" spans="1:5" ht="12.75" customHeight="1" x14ac:dyDescent="0.2">
      <c r="A218" s="150"/>
      <c r="B218" s="150"/>
      <c r="C218" s="151" t="s">
        <v>457</v>
      </c>
      <c r="D218" s="152" t="s">
        <v>559</v>
      </c>
      <c r="E218" s="153" t="s">
        <v>466</v>
      </c>
    </row>
    <row r="219" spans="1:5" ht="12.75" customHeight="1" x14ac:dyDescent="0.2">
      <c r="A219" s="150"/>
      <c r="B219" s="150"/>
      <c r="C219" s="151" t="s">
        <v>574</v>
      </c>
      <c r="D219" s="152" t="s">
        <v>559</v>
      </c>
      <c r="E219" s="153" t="s">
        <v>600</v>
      </c>
    </row>
    <row r="220" spans="1:5" ht="12.75" customHeight="1" x14ac:dyDescent="0.2">
      <c r="A220" s="92"/>
      <c r="B220" s="92"/>
      <c r="C220" s="154"/>
      <c r="D220" s="155"/>
      <c r="E220" s="92"/>
    </row>
    <row r="221" spans="1:5" ht="12.75" customHeight="1" x14ac:dyDescent="0.2">
      <c r="A221" s="150" t="s">
        <v>92</v>
      </c>
      <c r="B221" s="150" t="str">
        <f>Labels!B79</f>
        <v>New Units Sold</v>
      </c>
      <c r="C221" s="151" t="s">
        <v>319</v>
      </c>
      <c r="D221" s="152" t="s">
        <v>559</v>
      </c>
      <c r="E221" s="153" t="s">
        <v>549</v>
      </c>
    </row>
    <row r="222" spans="1:5" ht="12.75" customHeight="1" x14ac:dyDescent="0.2">
      <c r="A222" s="92"/>
      <c r="B222" s="92"/>
      <c r="C222" s="154"/>
      <c r="D222" s="155"/>
      <c r="E222" s="92"/>
    </row>
    <row r="223" spans="1:5" ht="12.75" customHeight="1" x14ac:dyDescent="0.2">
      <c r="A223" s="150" t="s">
        <v>549</v>
      </c>
      <c r="B223" s="150" t="str">
        <f>Labels!B80</f>
        <v>New Units</v>
      </c>
      <c r="C223" s="151"/>
      <c r="D223" s="152"/>
      <c r="E223" s="153"/>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92"/>
  <sheetViews>
    <sheetView zoomScaleNormal="100" workbookViewId="0"/>
  </sheetViews>
  <sheetFormatPr defaultRowHeight="12.75" customHeight="1" x14ac:dyDescent="0.2"/>
  <cols>
    <col min="1" max="1" width="19.5703125" customWidth="1"/>
    <col min="2" max="2" width="7" customWidth="1"/>
    <col min="3" max="3" width="16.42578125" customWidth="1"/>
    <col min="4" max="4" width="8.7109375" customWidth="1"/>
    <col min="5" max="5" width="13.5703125" customWidth="1"/>
    <col min="6" max="6" width="10.5703125" customWidth="1"/>
    <col min="7" max="7" width="15.140625" customWidth="1"/>
    <col min="8" max="8" width="6" customWidth="1"/>
  </cols>
  <sheetData>
    <row r="1" spans="1:8" ht="12.75" customHeight="1" x14ac:dyDescent="0.2">
      <c r="A1" s="261" t="str">
        <f>"Capitalization Table"</f>
        <v>Capitalization Table</v>
      </c>
      <c r="B1" s="261"/>
      <c r="C1" s="261"/>
      <c r="D1" s="261"/>
    </row>
    <row r="2" spans="1:8" ht="12.75" customHeight="1" x14ac:dyDescent="0.2">
      <c r="A2" s="261" t="str">
        <f>Inputs!B8</f>
        <v>ABC Corp.</v>
      </c>
      <c r="B2" s="261"/>
      <c r="C2" s="261"/>
      <c r="D2" s="261"/>
    </row>
    <row r="3" spans="1:8" ht="12.75" customHeight="1" x14ac:dyDescent="0.2">
      <c r="A3" s="261" t="str">
        <f>IF("Boneyard"="(Default Input)","Ignore this sheet in normal use.","Investment Scenario "&amp;1&amp;", Valuation Scenario "&amp;1)</f>
        <v>Investment Scenario 1, Valuation Scenario 1</v>
      </c>
      <c r="B3" s="261"/>
      <c r="C3" s="261"/>
      <c r="D3" s="261"/>
    </row>
    <row r="4" spans="1:8" ht="12.75" customHeight="1" x14ac:dyDescent="0.2">
      <c r="A4" s="261" t="str">
        <f>" "</f>
        <v xml:space="preserve"> </v>
      </c>
      <c r="B4" s="261"/>
      <c r="C4" s="261"/>
      <c r="D4" s="261"/>
    </row>
    <row r="5" spans="1:8" ht="12.75" customHeight="1" x14ac:dyDescent="0.2">
      <c r="A5" s="261" t="str">
        <f>"Ignore this sheet. It should be hidden."</f>
        <v>Ignore this sheet. It should be hidden.</v>
      </c>
      <c r="B5" s="261"/>
      <c r="C5" s="261"/>
      <c r="D5" s="261"/>
    </row>
    <row r="6" spans="1:8" ht="12.75" customHeight="1" x14ac:dyDescent="0.2">
      <c r="A6" s="261" t="str">
        <f>" "</f>
        <v xml:space="preserve"> </v>
      </c>
      <c r="B6" s="261"/>
      <c r="C6" s="261"/>
      <c r="D6" s="261"/>
    </row>
    <row r="7" spans="1:8" ht="12.75" customHeight="1" x14ac:dyDescent="0.2">
      <c r="A7" s="11" t="str">
        <f>Labels!B13</f>
        <v>Conv Discount %</v>
      </c>
      <c r="B7" s="48"/>
      <c r="C7" s="11" t="str">
        <f>Labels!B9</f>
        <v>Trigger Date</v>
      </c>
      <c r="D7" s="156"/>
      <c r="E7" s="11" t="str">
        <f>Labels!B10</f>
        <v>Trigger Invest</v>
      </c>
      <c r="F7" s="27"/>
      <c r="G7" s="11" t="str">
        <f>Labels!B11</f>
        <v>Trigger Value %</v>
      </c>
      <c r="H7" s="48"/>
    </row>
    <row r="8" spans="1:8" ht="12.75" customHeight="1" x14ac:dyDescent="0.2">
      <c r="A8" s="28" t="str">
        <f>"   "&amp;Labels!B103</f>
        <v xml:space="preserve">   Conv Note</v>
      </c>
      <c r="B8" s="157"/>
      <c r="C8" s="28" t="str">
        <f>"   "&amp;Labels!B103</f>
        <v xml:space="preserve">   Conv Note</v>
      </c>
      <c r="D8" s="158"/>
      <c r="E8" s="28" t="str">
        <f>"   "&amp;Labels!B103</f>
        <v xml:space="preserve">   Conv Note</v>
      </c>
      <c r="F8" s="30"/>
      <c r="G8" s="28" t="str">
        <f>"   "&amp;Labels!B103</f>
        <v xml:space="preserve">   Conv Note</v>
      </c>
      <c r="H8" s="157"/>
    </row>
    <row r="9" spans="1:8" ht="12.75" customHeight="1" x14ac:dyDescent="0.2">
      <c r="A9" s="89" t="str">
        <f>"      "&amp;Labels!B104</f>
        <v xml:space="preserve">      Series B</v>
      </c>
      <c r="B9" s="157">
        <f>Inputs!B23</f>
        <v>0.3</v>
      </c>
      <c r="C9" s="89" t="str">
        <f>"      "&amp;Labels!B104</f>
        <v xml:space="preserve">      Series B</v>
      </c>
      <c r="D9" s="158">
        <f>Inputs!B28</f>
        <v>40634</v>
      </c>
      <c r="E9" s="89" t="str">
        <f>"      "&amp;Labels!B104</f>
        <v xml:space="preserve">      Series B</v>
      </c>
      <c r="F9" s="30">
        <f>Inputs!C28</f>
        <v>1000000</v>
      </c>
      <c r="G9" s="89" t="str">
        <f>"      "&amp;Labels!B104</f>
        <v xml:space="preserve">      Series B</v>
      </c>
      <c r="H9" s="157">
        <f>Inputs!D28</f>
        <v>0.5</v>
      </c>
    </row>
    <row r="10" spans="1:8" ht="12.75" customHeight="1" x14ac:dyDescent="0.2">
      <c r="A10" s="89" t="str">
        <f>"      "&amp;Labels!B105</f>
        <v xml:space="preserve">      Series A</v>
      </c>
      <c r="B10" s="157">
        <f>Inputs!B24</f>
        <v>0.3</v>
      </c>
      <c r="C10" s="89" t="str">
        <f>"      "&amp;Labels!B105</f>
        <v xml:space="preserve">      Series A</v>
      </c>
      <c r="D10" s="158">
        <f>Inputs!B29</f>
        <v>40634</v>
      </c>
      <c r="E10" s="89" t="str">
        <f>"      "&amp;Labels!B105</f>
        <v xml:space="preserve">      Series A</v>
      </c>
      <c r="F10" s="30">
        <f>Inputs!C29</f>
        <v>1000000</v>
      </c>
      <c r="G10" s="89" t="str">
        <f>"      "&amp;Labels!B105</f>
        <v xml:space="preserve">      Series A</v>
      </c>
      <c r="H10" s="157">
        <f>Inputs!D29</f>
        <v>0.5</v>
      </c>
    </row>
    <row r="11" spans="1:8" ht="12.75" customHeight="1" x14ac:dyDescent="0.2">
      <c r="A11" s="28" t="str">
        <f>"   "&amp;Labels!B106</f>
        <v xml:space="preserve">   Preferred</v>
      </c>
      <c r="B11" s="157"/>
      <c r="C11" s="28" t="str">
        <f>"   "&amp;Labels!B106</f>
        <v xml:space="preserve">   Preferred</v>
      </c>
      <c r="D11" s="158"/>
      <c r="E11" s="28" t="str">
        <f>"   "&amp;Labels!B106</f>
        <v xml:space="preserve">   Preferred</v>
      </c>
      <c r="F11" s="30"/>
      <c r="G11" s="28" t="str">
        <f>"   "&amp;Labels!B106</f>
        <v xml:space="preserve">   Preferred</v>
      </c>
      <c r="H11" s="157"/>
    </row>
    <row r="12" spans="1:8" ht="12.75" customHeight="1" x14ac:dyDescent="0.2">
      <c r="A12" s="89" t="str">
        <f>"      "&amp;Labels!B107</f>
        <v xml:space="preserve">      Series A</v>
      </c>
      <c r="B12" s="49">
        <f>0</f>
        <v>0</v>
      </c>
      <c r="C12" s="89" t="str">
        <f>"      "&amp;Labels!B107</f>
        <v xml:space="preserve">      Series A</v>
      </c>
      <c r="D12" s="158">
        <f>Inputs!B57</f>
        <v>40634</v>
      </c>
      <c r="E12" s="89" t="str">
        <f>"      "&amp;Labels!B107</f>
        <v xml:space="preserve">      Series A</v>
      </c>
      <c r="F12" s="30">
        <f>Inputs!C57</f>
        <v>1500000</v>
      </c>
      <c r="G12" s="89" t="str">
        <f>"      "&amp;Labels!B107</f>
        <v xml:space="preserve">      Series A</v>
      </c>
      <c r="H12" s="157">
        <f>Inputs!D57</f>
        <v>0.5</v>
      </c>
    </row>
    <row r="13" spans="1:8" ht="12.75" customHeight="1" x14ac:dyDescent="0.2">
      <c r="A13" s="28" t="str">
        <f>"   "&amp;Labels!B108</f>
        <v xml:space="preserve">   Common</v>
      </c>
      <c r="B13" s="49">
        <f>0</f>
        <v>0</v>
      </c>
      <c r="C13" s="28" t="str">
        <f>"   "&amp;Labels!B108</f>
        <v xml:space="preserve">   Common</v>
      </c>
      <c r="D13" s="159">
        <f>DATE(2011,4,1)</f>
        <v>40634</v>
      </c>
      <c r="E13" s="28" t="str">
        <f>"   "&amp;Labels!B108</f>
        <v xml:space="preserve">   Common</v>
      </c>
      <c r="F13" s="66">
        <f>1500000</f>
        <v>1500000</v>
      </c>
      <c r="G13" s="28" t="str">
        <f>"   "&amp;Labels!B108</f>
        <v xml:space="preserve">   Common</v>
      </c>
      <c r="H13" s="49">
        <f>0.5</f>
        <v>0.5</v>
      </c>
    </row>
    <row r="14" spans="1:8" ht="12.75" customHeight="1" x14ac:dyDescent="0.2">
      <c r="A14" s="28" t="str">
        <f>"   "&amp;Labels!B109</f>
        <v xml:space="preserve">   Warrant</v>
      </c>
      <c r="B14" s="49">
        <f>0</f>
        <v>0</v>
      </c>
      <c r="C14" s="28" t="str">
        <f>"   "&amp;Labels!B109</f>
        <v xml:space="preserve">   Warrant</v>
      </c>
      <c r="D14" s="159">
        <f>DATE(2011,4,1)</f>
        <v>40634</v>
      </c>
      <c r="E14" s="28" t="str">
        <f>"   "&amp;Labels!B109</f>
        <v xml:space="preserve">   Warrant</v>
      </c>
      <c r="F14" s="66">
        <f>1500000</f>
        <v>1500000</v>
      </c>
      <c r="G14" s="28" t="str">
        <f>"   "&amp;Labels!B109</f>
        <v xml:space="preserve">   Warrant</v>
      </c>
      <c r="H14" s="49">
        <f>0.5</f>
        <v>0.5</v>
      </c>
    </row>
    <row r="15" spans="1:8" ht="12.75" customHeight="1" x14ac:dyDescent="0.2">
      <c r="A15" s="28" t="str">
        <f>"   "&amp;Labels!B110</f>
        <v xml:space="preserve">   Option</v>
      </c>
      <c r="B15" s="157"/>
      <c r="C15" s="28" t="str">
        <f>"   "&amp;Labels!B110</f>
        <v xml:space="preserve">   Option</v>
      </c>
      <c r="D15" s="158"/>
      <c r="E15" s="28" t="str">
        <f>"   "&amp;Labels!B110</f>
        <v xml:space="preserve">   Option</v>
      </c>
      <c r="F15" s="30"/>
      <c r="G15" s="28" t="str">
        <f>"   "&amp;Labels!B110</f>
        <v xml:space="preserve">   Option</v>
      </c>
      <c r="H15" s="157"/>
    </row>
    <row r="16" spans="1:8" ht="12.75" customHeight="1" x14ac:dyDescent="0.2">
      <c r="A16" s="89" t="str">
        <f>"      "&amp;Labels!B111</f>
        <v xml:space="preserve">      Series B</v>
      </c>
      <c r="B16" s="49">
        <f>0</f>
        <v>0</v>
      </c>
      <c r="C16" s="89" t="str">
        <f>"      "&amp;Labels!B111</f>
        <v xml:space="preserve">      Series B</v>
      </c>
      <c r="D16" s="158">
        <f>Inputs!C101</f>
        <v>40634</v>
      </c>
      <c r="E16" s="89" t="str">
        <f>"      "&amp;Labels!B111</f>
        <v xml:space="preserve">      Series B</v>
      </c>
      <c r="F16" s="30">
        <f>Inputs!D101</f>
        <v>1500000</v>
      </c>
      <c r="G16" s="89" t="str">
        <f>"      "&amp;Labels!B111</f>
        <v xml:space="preserve">      Series B</v>
      </c>
      <c r="H16" s="157">
        <f>Inputs!E101</f>
        <v>0.5</v>
      </c>
    </row>
    <row r="17" spans="1:8" ht="12.75" customHeight="1" x14ac:dyDescent="0.2">
      <c r="A17" s="101" t="str">
        <f>"      "&amp;Labels!B112</f>
        <v xml:space="preserve">      Series A</v>
      </c>
      <c r="B17" s="50">
        <f>0</f>
        <v>0</v>
      </c>
      <c r="C17" s="101" t="str">
        <f>"      "&amp;Labels!B112</f>
        <v xml:space="preserve">      Series A</v>
      </c>
      <c r="D17" s="160">
        <f>Inputs!C102</f>
        <v>40634</v>
      </c>
      <c r="E17" s="101" t="str">
        <f>"      "&amp;Labels!B112</f>
        <v xml:space="preserve">      Series A</v>
      </c>
      <c r="F17" s="32">
        <f>Inputs!D102</f>
        <v>1500000</v>
      </c>
      <c r="G17" s="101" t="str">
        <f>"      "&amp;Labels!B112</f>
        <v xml:space="preserve">      Series A</v>
      </c>
      <c r="H17" s="161">
        <f>Inputs!E102</f>
        <v>0.5</v>
      </c>
    </row>
    <row r="19" spans="1:8" ht="12.75" customHeight="1" x14ac:dyDescent="0.2">
      <c r="A19" s="11" t="str">
        <f>Labels!B19</f>
        <v>Dividend % (Yr)</v>
      </c>
      <c r="B19" s="162"/>
      <c r="C19" s="11" t="str">
        <f>Labels!B69</f>
        <v>New Unit Price %</v>
      </c>
      <c r="D19" s="48"/>
      <c r="E19" s="11" t="str">
        <f>Labels!B47</f>
        <v>Liq Multiple</v>
      </c>
      <c r="F19" s="163"/>
      <c r="G19" s="11" t="str">
        <f>Labels!B8</f>
        <v>Liq Premium %</v>
      </c>
      <c r="H19" s="164"/>
    </row>
    <row r="20" spans="1:8" ht="12.75" customHeight="1" x14ac:dyDescent="0.2">
      <c r="A20" s="28" t="str">
        <f>"   "&amp;Labels!B103</f>
        <v xml:space="preserve">   Conv Note</v>
      </c>
      <c r="B20" s="165"/>
      <c r="C20" s="28" t="str">
        <f>"   "&amp;Labels!B103</f>
        <v xml:space="preserve">   Conv Note</v>
      </c>
      <c r="D20" s="157"/>
      <c r="E20" s="28" t="str">
        <f>"   "&amp;Labels!B103</f>
        <v xml:space="preserve">   Conv Note</v>
      </c>
      <c r="F20" s="166"/>
      <c r="G20" s="28" t="str">
        <f>"   "&amp;Labels!B103</f>
        <v xml:space="preserve">   Conv Note</v>
      </c>
      <c r="H20" s="167"/>
    </row>
    <row r="21" spans="1:8" ht="12.75" customHeight="1" x14ac:dyDescent="0.2">
      <c r="A21" s="89" t="str">
        <f>"      "&amp;Labels!B104</f>
        <v xml:space="preserve">      Series B</v>
      </c>
      <c r="B21" s="165">
        <f>Inputs!D23</f>
        <v>0.04</v>
      </c>
      <c r="C21" s="89" t="str">
        <f>"      "&amp;Labels!B104</f>
        <v xml:space="preserve">      Series B</v>
      </c>
      <c r="D21" s="49">
        <f>1</f>
        <v>1</v>
      </c>
      <c r="E21" s="89" t="str">
        <f>"      "&amp;Labels!B104</f>
        <v xml:space="preserve">      Series B</v>
      </c>
      <c r="F21" s="166">
        <f>Inputs!C23</f>
        <v>1</v>
      </c>
      <c r="G21" s="89" t="str">
        <f>"      "&amp;Labels!B104</f>
        <v xml:space="preserve">      Series B</v>
      </c>
      <c r="H21" s="167">
        <f>Inputs!E28</f>
        <v>0.2</v>
      </c>
    </row>
    <row r="22" spans="1:8" ht="12.75" customHeight="1" x14ac:dyDescent="0.2">
      <c r="A22" s="89" t="str">
        <f>"      "&amp;Labels!B105</f>
        <v xml:space="preserve">      Series A</v>
      </c>
      <c r="B22" s="165">
        <f>Inputs!D24</f>
        <v>0.04</v>
      </c>
      <c r="C22" s="89" t="str">
        <f>"      "&amp;Labels!B105</f>
        <v xml:space="preserve">      Series A</v>
      </c>
      <c r="D22" s="49">
        <f>1</f>
        <v>1</v>
      </c>
      <c r="E22" s="89" t="str">
        <f>"      "&amp;Labels!B105</f>
        <v xml:space="preserve">      Series A</v>
      </c>
      <c r="F22" s="166">
        <f>Inputs!C24</f>
        <v>1</v>
      </c>
      <c r="G22" s="89" t="str">
        <f>"      "&amp;Labels!B105</f>
        <v xml:space="preserve">      Series A</v>
      </c>
      <c r="H22" s="167">
        <f>Inputs!E29</f>
        <v>0.2</v>
      </c>
    </row>
    <row r="23" spans="1:8" ht="12.75" customHeight="1" x14ac:dyDescent="0.2">
      <c r="A23" s="28" t="str">
        <f>"   "&amp;Labels!B106</f>
        <v xml:space="preserve">   Preferred</v>
      </c>
      <c r="B23" s="165"/>
      <c r="C23" s="28" t="str">
        <f>"   "&amp;Labels!B106</f>
        <v xml:space="preserve">   Preferred</v>
      </c>
      <c r="D23" s="157"/>
      <c r="E23" s="28" t="str">
        <f>"   "&amp;Labels!B106</f>
        <v xml:space="preserve">   Preferred</v>
      </c>
      <c r="F23" s="166"/>
      <c r="G23" s="28" t="str">
        <f>"   "&amp;Labels!B106</f>
        <v xml:space="preserve">   Preferred</v>
      </c>
      <c r="H23" s="167"/>
    </row>
    <row r="24" spans="1:8" ht="12.75" customHeight="1" x14ac:dyDescent="0.2">
      <c r="A24" s="89" t="str">
        <f>"      "&amp;Labels!B107</f>
        <v xml:space="preserve">      Series A</v>
      </c>
      <c r="B24" s="165">
        <f>Inputs!C53</f>
        <v>0.06</v>
      </c>
      <c r="C24" s="89" t="str">
        <f>"      "&amp;Labels!B107</f>
        <v xml:space="preserve">      Series A</v>
      </c>
      <c r="D24" s="49">
        <f>1</f>
        <v>1</v>
      </c>
      <c r="E24" s="89" t="str">
        <f>"      "&amp;Labels!B107</f>
        <v xml:space="preserve">      Series A</v>
      </c>
      <c r="F24" s="166">
        <f>Inputs!B53</f>
        <v>1</v>
      </c>
      <c r="G24" s="89" t="str">
        <f>"      "&amp;Labels!B107</f>
        <v xml:space="preserve">      Series A</v>
      </c>
      <c r="H24" s="167">
        <f>Inputs!E57</f>
        <v>-0.2</v>
      </c>
    </row>
    <row r="25" spans="1:8" ht="12.75" customHeight="1" x14ac:dyDescent="0.2">
      <c r="A25" s="28" t="str">
        <f>"   "&amp;Labels!B108</f>
        <v xml:space="preserve">   Common</v>
      </c>
      <c r="B25" s="168">
        <f>0</f>
        <v>0</v>
      </c>
      <c r="C25" s="28" t="str">
        <f>"   "&amp;Labels!B108</f>
        <v xml:space="preserve">   Common</v>
      </c>
      <c r="D25" s="49">
        <f>1</f>
        <v>1</v>
      </c>
      <c r="E25" s="28" t="str">
        <f>"   "&amp;Labels!B108</f>
        <v xml:space="preserve">   Common</v>
      </c>
      <c r="F25" s="169">
        <f>0</f>
        <v>0</v>
      </c>
      <c r="G25" s="28" t="str">
        <f>"   "&amp;Labels!B108</f>
        <v xml:space="preserve">   Common</v>
      </c>
      <c r="H25" s="170">
        <f>0</f>
        <v>0</v>
      </c>
    </row>
    <row r="26" spans="1:8" ht="12.75" customHeight="1" x14ac:dyDescent="0.2">
      <c r="A26" s="28" t="str">
        <f>"   "&amp;Labels!B109</f>
        <v xml:space="preserve">   Warrant</v>
      </c>
      <c r="B26" s="168">
        <f>0</f>
        <v>0</v>
      </c>
      <c r="C26" s="28" t="str">
        <f>"   "&amp;Labels!B109</f>
        <v xml:space="preserve">   Warrant</v>
      </c>
      <c r="D26" s="49">
        <f>1</f>
        <v>1</v>
      </c>
      <c r="E26" s="28" t="str">
        <f>"   "&amp;Labels!B109</f>
        <v xml:space="preserve">   Warrant</v>
      </c>
      <c r="F26" s="169">
        <f>0</f>
        <v>0</v>
      </c>
      <c r="G26" s="28" t="str">
        <f>"   "&amp;Labels!B109</f>
        <v xml:space="preserve">   Warrant</v>
      </c>
      <c r="H26" s="170">
        <f>0</f>
        <v>0</v>
      </c>
    </row>
    <row r="27" spans="1:8" ht="12.75" customHeight="1" x14ac:dyDescent="0.2">
      <c r="A27" s="28" t="str">
        <f>"   "&amp;Labels!B110</f>
        <v xml:space="preserve">   Option</v>
      </c>
      <c r="B27" s="165"/>
      <c r="C27" s="28" t="str">
        <f>"   "&amp;Labels!B110</f>
        <v xml:space="preserve">   Option</v>
      </c>
      <c r="D27" s="157"/>
      <c r="E27" s="28" t="str">
        <f>"   "&amp;Labels!B110</f>
        <v xml:space="preserve">   Option</v>
      </c>
      <c r="F27" s="166"/>
      <c r="G27" s="28" t="str">
        <f>"   "&amp;Labels!B110</f>
        <v xml:space="preserve">   Option</v>
      </c>
      <c r="H27" s="167"/>
    </row>
    <row r="28" spans="1:8" ht="12.75" customHeight="1" x14ac:dyDescent="0.2">
      <c r="A28" s="89" t="str">
        <f>"      "&amp;Labels!B111</f>
        <v xml:space="preserve">      Series B</v>
      </c>
      <c r="B28" s="168">
        <f>0</f>
        <v>0</v>
      </c>
      <c r="C28" s="89" t="str">
        <f>"      "&amp;Labels!B111</f>
        <v xml:space="preserve">      Series B</v>
      </c>
      <c r="D28" s="157">
        <f>Inputs!B91</f>
        <v>1</v>
      </c>
      <c r="E28" s="89" t="str">
        <f>"      "&amp;Labels!B111</f>
        <v xml:space="preserve">      Series B</v>
      </c>
      <c r="F28" s="169">
        <f>0</f>
        <v>0</v>
      </c>
      <c r="G28" s="89" t="str">
        <f>"      "&amp;Labels!B111</f>
        <v xml:space="preserve">      Series B</v>
      </c>
      <c r="H28" s="170">
        <f>0</f>
        <v>0</v>
      </c>
    </row>
    <row r="29" spans="1:8" ht="12.75" customHeight="1" x14ac:dyDescent="0.2">
      <c r="A29" s="101" t="str">
        <f>"      "&amp;Labels!B112</f>
        <v xml:space="preserve">      Series A</v>
      </c>
      <c r="B29" s="171">
        <f>0</f>
        <v>0</v>
      </c>
      <c r="C29" s="101" t="str">
        <f>"      "&amp;Labels!B112</f>
        <v xml:space="preserve">      Series A</v>
      </c>
      <c r="D29" s="161">
        <f>Inputs!B92</f>
        <v>1</v>
      </c>
      <c r="E29" s="101" t="str">
        <f>"      "&amp;Labels!B112</f>
        <v xml:space="preserve">      Series A</v>
      </c>
      <c r="F29" s="172">
        <f>0</f>
        <v>0</v>
      </c>
      <c r="G29" s="101" t="str">
        <f>"      "&amp;Labels!B112</f>
        <v xml:space="preserve">      Series A</v>
      </c>
      <c r="H29" s="173">
        <f>0</f>
        <v>0</v>
      </c>
    </row>
    <row r="32" spans="1:8" ht="12.75" customHeight="1" x14ac:dyDescent="0.2">
      <c r="B32" s="6" t="str">
        <f>Labels!B98</f>
        <v>Seed</v>
      </c>
      <c r="C32" s="7" t="str">
        <f>Labels!B99</f>
        <v>Round A</v>
      </c>
      <c r="D32" s="8" t="str">
        <f>Labels!B100</f>
        <v>Exit</v>
      </c>
    </row>
    <row r="33" spans="1:5" ht="12.75" customHeight="1" x14ac:dyDescent="0.2">
      <c r="A33" s="11" t="str">
        <f>Labels!B66</f>
        <v>Price Premium %</v>
      </c>
      <c r="B33" s="33"/>
      <c r="C33" s="33"/>
      <c r="D33" s="34"/>
    </row>
    <row r="34" spans="1:5" ht="12.75" customHeight="1" x14ac:dyDescent="0.2">
      <c r="A34" s="28" t="str">
        <f>"   "&amp;Labels!B103</f>
        <v xml:space="preserve">   Conv Note</v>
      </c>
      <c r="B34" s="174"/>
      <c r="C34" s="174"/>
      <c r="D34" s="175"/>
    </row>
    <row r="35" spans="1:5" ht="12.75" customHeight="1" x14ac:dyDescent="0.2">
      <c r="A35" s="89" t="str">
        <f>"      "&amp;Labels!B104</f>
        <v xml:space="preserve">      Series B</v>
      </c>
      <c r="B35" s="176">
        <f>0</f>
        <v>0</v>
      </c>
      <c r="C35" s="176">
        <f>B35</f>
        <v>0</v>
      </c>
      <c r="D35" s="177">
        <f>C35</f>
        <v>0</v>
      </c>
    </row>
    <row r="36" spans="1:5" ht="12.75" customHeight="1" x14ac:dyDescent="0.2">
      <c r="A36" s="89" t="str">
        <f>"      "&amp;Labels!B105</f>
        <v xml:space="preserve">      Series A</v>
      </c>
      <c r="B36" s="176">
        <f>0</f>
        <v>0</v>
      </c>
      <c r="C36" s="176">
        <f>B36</f>
        <v>0</v>
      </c>
      <c r="D36" s="177">
        <f>C36</f>
        <v>0</v>
      </c>
    </row>
    <row r="37" spans="1:5" ht="12.75" customHeight="1" x14ac:dyDescent="0.2">
      <c r="A37" s="28" t="str">
        <f>"   "&amp;Labels!B106</f>
        <v xml:space="preserve">   Preferred</v>
      </c>
      <c r="B37" s="174"/>
      <c r="C37" s="174"/>
      <c r="D37" s="175"/>
    </row>
    <row r="38" spans="1:5" ht="12.75" customHeight="1" x14ac:dyDescent="0.2">
      <c r="A38" s="89" t="str">
        <f>"      "&amp;Labels!B107</f>
        <v xml:space="preserve">      Series A</v>
      </c>
      <c r="B38" s="178">
        <f>Inputs!B50</f>
        <v>0.1</v>
      </c>
      <c r="C38" s="178">
        <f>Inputs!C50</f>
        <v>0.1</v>
      </c>
      <c r="D38" s="179">
        <f>Inputs!D50</f>
        <v>0.1</v>
      </c>
    </row>
    <row r="39" spans="1:5" ht="12.75" customHeight="1" x14ac:dyDescent="0.2">
      <c r="A39" s="28" t="str">
        <f>"   "&amp;Labels!B108</f>
        <v xml:space="preserve">   Common</v>
      </c>
      <c r="B39" s="180">
        <f>0</f>
        <v>0</v>
      </c>
      <c r="C39" s="180">
        <f>B39</f>
        <v>0</v>
      </c>
      <c r="D39" s="181">
        <f>C39</f>
        <v>0</v>
      </c>
    </row>
    <row r="40" spans="1:5" ht="12.75" customHeight="1" x14ac:dyDescent="0.2">
      <c r="A40" s="28" t="str">
        <f>"   "&amp;Labels!B109</f>
        <v xml:space="preserve">   Warrant</v>
      </c>
      <c r="B40" s="180">
        <f>0</f>
        <v>0</v>
      </c>
      <c r="C40" s="180">
        <f>B40</f>
        <v>0</v>
      </c>
      <c r="D40" s="181">
        <f>C40</f>
        <v>0</v>
      </c>
    </row>
    <row r="41" spans="1:5" ht="12.75" customHeight="1" x14ac:dyDescent="0.2">
      <c r="A41" s="28" t="str">
        <f>"   "&amp;Labels!B110</f>
        <v xml:space="preserve">   Option</v>
      </c>
      <c r="B41" s="174"/>
      <c r="C41" s="174"/>
      <c r="D41" s="175"/>
    </row>
    <row r="42" spans="1:5" ht="12.75" customHeight="1" x14ac:dyDescent="0.2">
      <c r="A42" s="89" t="str">
        <f>"      "&amp;Labels!B111</f>
        <v xml:space="preserve">      Series B</v>
      </c>
      <c r="B42" s="176">
        <f>0</f>
        <v>0</v>
      </c>
      <c r="C42" s="176">
        <f>B42</f>
        <v>0</v>
      </c>
      <c r="D42" s="177">
        <f>C42</f>
        <v>0</v>
      </c>
    </row>
    <row r="43" spans="1:5" ht="12.75" customHeight="1" x14ac:dyDescent="0.2">
      <c r="A43" s="101" t="str">
        <f>"      "&amp;Labels!B112</f>
        <v xml:space="preserve">      Series A</v>
      </c>
      <c r="B43" s="36">
        <f>0</f>
        <v>0</v>
      </c>
      <c r="C43" s="36">
        <f>B43</f>
        <v>0</v>
      </c>
      <c r="D43" s="37">
        <f>C43</f>
        <v>0</v>
      </c>
    </row>
    <row r="45" spans="1:5" ht="12.75" customHeight="1" x14ac:dyDescent="0.2">
      <c r="A45" s="11" t="str">
        <f>Labels!B43</f>
        <v>New Investment</v>
      </c>
      <c r="B45" s="26"/>
      <c r="C45" s="26"/>
      <c r="D45" s="26"/>
      <c r="E45" s="27"/>
    </row>
    <row r="46" spans="1:5" ht="12.75" customHeight="1" x14ac:dyDescent="0.2">
      <c r="A46" s="28" t="str">
        <f>"   "&amp;Labels!B103</f>
        <v xml:space="preserve">   Conv Note</v>
      </c>
      <c r="B46" s="70"/>
      <c r="C46" s="70"/>
      <c r="D46" s="70"/>
      <c r="E46" s="30"/>
    </row>
    <row r="47" spans="1:5" ht="12.75" customHeight="1" x14ac:dyDescent="0.2">
      <c r="A47" s="89" t="str">
        <f>"      "&amp;Labels!B104</f>
        <v xml:space="preserve">      Series B</v>
      </c>
      <c r="B47" s="91">
        <f>Inputs!B38</f>
        <v>0</v>
      </c>
      <c r="C47" s="91">
        <f>Inputs!C38</f>
        <v>0</v>
      </c>
      <c r="D47" s="91">
        <f>Inputs!D38</f>
        <v>0</v>
      </c>
      <c r="E47" s="30">
        <f>SUM(B47:D47)</f>
        <v>0</v>
      </c>
    </row>
    <row r="48" spans="1:5" ht="12.75" customHeight="1" x14ac:dyDescent="0.2">
      <c r="A48" s="89" t="str">
        <f>"      "&amp;Labels!B105</f>
        <v xml:space="preserve">      Series A</v>
      </c>
      <c r="B48" s="91">
        <f>Inputs!B39</f>
        <v>0</v>
      </c>
      <c r="C48" s="91">
        <f>Inputs!C39</f>
        <v>0</v>
      </c>
      <c r="D48" s="91">
        <f>Inputs!D39</f>
        <v>0</v>
      </c>
      <c r="E48" s="30">
        <f>SUM(B48:D48)</f>
        <v>0</v>
      </c>
    </row>
    <row r="49" spans="1:5" ht="12.75" customHeight="1" x14ac:dyDescent="0.2">
      <c r="A49" s="28" t="str">
        <f>"      "&amp;Labels!C103</f>
        <v xml:space="preserve">      Subtotal</v>
      </c>
      <c r="B49" s="70">
        <f>SUM(B47:B48)</f>
        <v>0</v>
      </c>
      <c r="C49" s="70">
        <f>SUM(C47:C48)</f>
        <v>0</v>
      </c>
      <c r="D49" s="70">
        <f>SUM(D47:D48)</f>
        <v>0</v>
      </c>
      <c r="E49" s="30">
        <f>SUM(E47:E48)</f>
        <v>0</v>
      </c>
    </row>
    <row r="50" spans="1:5" ht="12.75" customHeight="1" x14ac:dyDescent="0.2">
      <c r="A50" s="28" t="str">
        <f>"   "&amp;Labels!B106</f>
        <v xml:space="preserve">   Preferred</v>
      </c>
      <c r="B50" s="70"/>
      <c r="C50" s="70"/>
      <c r="D50" s="70"/>
      <c r="E50" s="30"/>
    </row>
    <row r="51" spans="1:5" ht="12.75" customHeight="1" x14ac:dyDescent="0.2">
      <c r="A51" s="89" t="str">
        <f>"      "&amp;Labels!B107</f>
        <v xml:space="preserve">      Series A</v>
      </c>
      <c r="B51" s="91">
        <f>Inputs!B65</f>
        <v>0</v>
      </c>
      <c r="C51" s="91">
        <f>Inputs!C65</f>
        <v>0</v>
      </c>
      <c r="D51" s="91">
        <f>Inputs!D65</f>
        <v>0</v>
      </c>
      <c r="E51" s="30">
        <f>SUM(B51:D51)</f>
        <v>0</v>
      </c>
    </row>
    <row r="52" spans="1:5" ht="12.75" customHeight="1" x14ac:dyDescent="0.2">
      <c r="A52" s="28" t="str">
        <f>"      "&amp;Labels!C106</f>
        <v xml:space="preserve">      Subtotal</v>
      </c>
      <c r="B52" s="70">
        <f>Inputs!B65</f>
        <v>0</v>
      </c>
      <c r="C52" s="70">
        <f>Inputs!C65</f>
        <v>0</v>
      </c>
      <c r="D52" s="70">
        <f>Inputs!D65</f>
        <v>0</v>
      </c>
      <c r="E52" s="30">
        <f>Inputs!E65</f>
        <v>0</v>
      </c>
    </row>
    <row r="53" spans="1:5" ht="12.75" customHeight="1" x14ac:dyDescent="0.2">
      <c r="A53" s="28" t="str">
        <f>"   "&amp;Labels!B108</f>
        <v xml:space="preserve">   Common</v>
      </c>
      <c r="B53" s="70">
        <f>Inputs!B83</f>
        <v>1</v>
      </c>
      <c r="C53" s="70">
        <f>Inputs!C83</f>
        <v>0</v>
      </c>
      <c r="D53" s="70">
        <f>Inputs!D83</f>
        <v>0</v>
      </c>
      <c r="E53" s="30">
        <f>SUM(B53:D53)</f>
        <v>1</v>
      </c>
    </row>
    <row r="54" spans="1:5" ht="12.75" customHeight="1" x14ac:dyDescent="0.2">
      <c r="A54" s="28" t="str">
        <f>"   "&amp;Labels!B109</f>
        <v xml:space="preserve">   Warrant</v>
      </c>
      <c r="B54" s="182">
        <f>0</f>
        <v>0</v>
      </c>
      <c r="C54" s="182">
        <f>0</f>
        <v>0</v>
      </c>
      <c r="D54" s="182">
        <f>0</f>
        <v>0</v>
      </c>
      <c r="E54" s="30">
        <f>SUM(B54:D54)</f>
        <v>0</v>
      </c>
    </row>
    <row r="55" spans="1:5" ht="12.75" customHeight="1" x14ac:dyDescent="0.2">
      <c r="A55" s="28" t="str">
        <f>"   "&amp;Labels!B110</f>
        <v xml:space="preserve">   Option</v>
      </c>
      <c r="B55" s="70"/>
      <c r="C55" s="70"/>
      <c r="D55" s="70"/>
      <c r="E55" s="30"/>
    </row>
    <row r="56" spans="1:5" ht="12.75" customHeight="1" x14ac:dyDescent="0.2">
      <c r="A56" s="89" t="str">
        <f>"      "&amp;Labels!B111</f>
        <v xml:space="preserve">      Series B</v>
      </c>
      <c r="B56" s="29">
        <f>0</f>
        <v>0</v>
      </c>
      <c r="C56" s="29">
        <f>0</f>
        <v>0</v>
      </c>
      <c r="D56" s="29">
        <f>0</f>
        <v>0</v>
      </c>
      <c r="E56" s="30">
        <f>SUM(B56:D56)</f>
        <v>0</v>
      </c>
    </row>
    <row r="57" spans="1:5" ht="12.75" customHeight="1" x14ac:dyDescent="0.2">
      <c r="A57" s="89" t="str">
        <f>"      "&amp;Labels!B112</f>
        <v xml:space="preserve">      Series A</v>
      </c>
      <c r="B57" s="29">
        <f>0</f>
        <v>0</v>
      </c>
      <c r="C57" s="29">
        <f>0</f>
        <v>0</v>
      </c>
      <c r="D57" s="29">
        <f>0</f>
        <v>0</v>
      </c>
      <c r="E57" s="30">
        <f>SUM(B57:D57)</f>
        <v>0</v>
      </c>
    </row>
    <row r="58" spans="1:5" ht="12.75" customHeight="1" x14ac:dyDescent="0.2">
      <c r="A58" s="28" t="str">
        <f>"      "&amp;Labels!C110</f>
        <v xml:space="preserve">      Subtotal</v>
      </c>
      <c r="B58" s="70">
        <f>SUM(B56:B57)</f>
        <v>0</v>
      </c>
      <c r="C58" s="70">
        <f>SUM(C56:C57)</f>
        <v>0</v>
      </c>
      <c r="D58" s="70">
        <f>SUM(D56:D57)</f>
        <v>0</v>
      </c>
      <c r="E58" s="30">
        <f>SUM(E56:E57)</f>
        <v>0</v>
      </c>
    </row>
    <row r="59" spans="1:5" ht="12.75" customHeight="1" x14ac:dyDescent="0.2">
      <c r="A59" s="15" t="str">
        <f>"   "&amp;Labels!C102</f>
        <v xml:space="preserve">   Total</v>
      </c>
      <c r="B59" s="31">
        <f>SUM(B49,B52:B54,B58)</f>
        <v>1</v>
      </c>
      <c r="C59" s="31">
        <f>SUM(C49,C52:C54,C58)</f>
        <v>0</v>
      </c>
      <c r="D59" s="31">
        <f>SUM(D49,D52:D54,D58)</f>
        <v>0</v>
      </c>
      <c r="E59" s="32">
        <f>SUM(E49,E52:E54,E58)</f>
        <v>1</v>
      </c>
    </row>
    <row r="61" spans="1:5" ht="12.75" customHeight="1" x14ac:dyDescent="0.2">
      <c r="A61" s="11" t="str">
        <f>Labels!B80</f>
        <v>New Units</v>
      </c>
      <c r="B61" s="60"/>
      <c r="C61" s="60"/>
      <c r="D61" s="60"/>
      <c r="E61" s="61"/>
    </row>
    <row r="62" spans="1:5" ht="12.75" customHeight="1" x14ac:dyDescent="0.2">
      <c r="A62" s="28" t="str">
        <f>"   "&amp;Labels!B103</f>
        <v xml:space="preserve">   Conv Note</v>
      </c>
      <c r="B62" s="97"/>
      <c r="C62" s="97"/>
      <c r="D62" s="97"/>
      <c r="E62" s="63"/>
    </row>
    <row r="63" spans="1:5" ht="12.75" customHeight="1" x14ac:dyDescent="0.2">
      <c r="A63" s="89" t="str">
        <f>"      "&amp;Labels!B104</f>
        <v xml:space="preserve">      Series B</v>
      </c>
      <c r="B63" s="62">
        <f t="shared" ref="B63:D64" si="0">0/3/10</f>
        <v>0</v>
      </c>
      <c r="C63" s="62">
        <f t="shared" si="0"/>
        <v>0</v>
      </c>
      <c r="D63" s="62">
        <f t="shared" si="0"/>
        <v>0</v>
      </c>
      <c r="E63" s="63">
        <f>SUM(B63:D63)</f>
        <v>0</v>
      </c>
    </row>
    <row r="64" spans="1:5" ht="12.75" customHeight="1" x14ac:dyDescent="0.2">
      <c r="A64" s="89" t="str">
        <f>"      "&amp;Labels!B105</f>
        <v xml:space="preserve">      Series A</v>
      </c>
      <c r="B64" s="62">
        <f t="shared" si="0"/>
        <v>0</v>
      </c>
      <c r="C64" s="62">
        <f t="shared" si="0"/>
        <v>0</v>
      </c>
      <c r="D64" s="62">
        <f t="shared" si="0"/>
        <v>0</v>
      </c>
      <c r="E64" s="63">
        <f>SUM(B64:D64)</f>
        <v>0</v>
      </c>
    </row>
    <row r="65" spans="1:5" ht="12.75" customHeight="1" x14ac:dyDescent="0.2">
      <c r="A65" s="28" t="str">
        <f>"      "&amp;Labels!C103</f>
        <v xml:space="preserve">      Subtotal</v>
      </c>
      <c r="B65" s="97">
        <f>SUM(B63:B64)</f>
        <v>0</v>
      </c>
      <c r="C65" s="97">
        <f>SUM(C63:C64)</f>
        <v>0</v>
      </c>
      <c r="D65" s="97">
        <f>SUM(D63:D64)</f>
        <v>0</v>
      </c>
      <c r="E65" s="63">
        <f>SUM(E63:E64)</f>
        <v>0</v>
      </c>
    </row>
    <row r="66" spans="1:5" ht="12.75" customHeight="1" x14ac:dyDescent="0.2">
      <c r="A66" s="28" t="str">
        <f>"   "&amp;Labels!B106</f>
        <v xml:space="preserve">   Preferred</v>
      </c>
      <c r="B66" s="97"/>
      <c r="C66" s="97"/>
      <c r="D66" s="97"/>
      <c r="E66" s="63"/>
    </row>
    <row r="67" spans="1:5" ht="12.75" customHeight="1" x14ac:dyDescent="0.2">
      <c r="A67" s="89" t="str">
        <f>"      "&amp;Labels!B107</f>
        <v xml:space="preserve">      Series A</v>
      </c>
      <c r="B67" s="62">
        <f>0/3/5</f>
        <v>0</v>
      </c>
      <c r="C67" s="62">
        <f>0/3/5</f>
        <v>0</v>
      </c>
      <c r="D67" s="62">
        <f>0/3/5</f>
        <v>0</v>
      </c>
      <c r="E67" s="63">
        <f>SUM(B67:D67)</f>
        <v>0</v>
      </c>
    </row>
    <row r="68" spans="1:5" ht="12.75" customHeight="1" x14ac:dyDescent="0.2">
      <c r="A68" s="28" t="str">
        <f>"      "&amp;Labels!C106</f>
        <v xml:space="preserve">      Subtotal</v>
      </c>
      <c r="B68" s="97">
        <f>B67</f>
        <v>0</v>
      </c>
      <c r="C68" s="97">
        <f>C67</f>
        <v>0</v>
      </c>
      <c r="D68" s="97">
        <f>D67</f>
        <v>0</v>
      </c>
      <c r="E68" s="63">
        <f>E67</f>
        <v>0</v>
      </c>
    </row>
    <row r="69" spans="1:5" ht="12.75" customHeight="1" x14ac:dyDescent="0.2">
      <c r="A69" s="28" t="str">
        <f>"   "&amp;Labels!B108</f>
        <v xml:space="preserve">   Common</v>
      </c>
      <c r="B69" s="183">
        <f t="shared" ref="B69:D70" si="1">0/3/5</f>
        <v>0</v>
      </c>
      <c r="C69" s="183">
        <f t="shared" si="1"/>
        <v>0</v>
      </c>
      <c r="D69" s="183">
        <f t="shared" si="1"/>
        <v>0</v>
      </c>
      <c r="E69" s="63">
        <f>SUM(B69:D69)</f>
        <v>0</v>
      </c>
    </row>
    <row r="70" spans="1:5" ht="12.75" customHeight="1" x14ac:dyDescent="0.2">
      <c r="A70" s="28" t="str">
        <f>"   "&amp;Labels!B109</f>
        <v xml:space="preserve">   Warrant</v>
      </c>
      <c r="B70" s="183">
        <f t="shared" si="1"/>
        <v>0</v>
      </c>
      <c r="C70" s="183">
        <f t="shared" si="1"/>
        <v>0</v>
      </c>
      <c r="D70" s="183">
        <f t="shared" si="1"/>
        <v>0</v>
      </c>
      <c r="E70" s="63">
        <f>SUM(B70:D70)</f>
        <v>0</v>
      </c>
    </row>
    <row r="71" spans="1:5" ht="12.75" customHeight="1" x14ac:dyDescent="0.2">
      <c r="A71" s="28" t="str">
        <f>"   "&amp;Labels!B110</f>
        <v xml:space="preserve">   Option</v>
      </c>
      <c r="B71" s="97"/>
      <c r="C71" s="97"/>
      <c r="D71" s="97"/>
      <c r="E71" s="63"/>
    </row>
    <row r="72" spans="1:5" ht="12.75" customHeight="1" x14ac:dyDescent="0.2">
      <c r="A72" s="89" t="str">
        <f>"      "&amp;Labels!B111</f>
        <v xml:space="preserve">      Series B</v>
      </c>
      <c r="B72" s="104">
        <f>Inputs!B112</f>
        <v>0</v>
      </c>
      <c r="C72" s="104">
        <f>Inputs!C112</f>
        <v>0</v>
      </c>
      <c r="D72" s="104">
        <f>Inputs!D112</f>
        <v>0</v>
      </c>
      <c r="E72" s="63">
        <f>SUM(B72:D72)</f>
        <v>0</v>
      </c>
    </row>
    <row r="73" spans="1:5" ht="12.75" customHeight="1" x14ac:dyDescent="0.2">
      <c r="A73" s="89" t="str">
        <f>"      "&amp;Labels!B112</f>
        <v xml:space="preserve">      Series A</v>
      </c>
      <c r="B73" s="104">
        <f>Inputs!B113</f>
        <v>0</v>
      </c>
      <c r="C73" s="104">
        <f>Inputs!C113</f>
        <v>0</v>
      </c>
      <c r="D73" s="104">
        <f>Inputs!D113</f>
        <v>0</v>
      </c>
      <c r="E73" s="63">
        <f>SUM(B73:D73)</f>
        <v>0</v>
      </c>
    </row>
    <row r="74" spans="1:5" ht="12.75" customHeight="1" x14ac:dyDescent="0.2">
      <c r="A74" s="28" t="str">
        <f>"      "&amp;Labels!C110</f>
        <v xml:space="preserve">      Subtotal</v>
      </c>
      <c r="B74" s="97">
        <f>SUM(B72:B73)</f>
        <v>0</v>
      </c>
      <c r="C74" s="97">
        <f>SUM(C72:C73)</f>
        <v>0</v>
      </c>
      <c r="D74" s="97">
        <f>SUM(D72:D73)</f>
        <v>0</v>
      </c>
      <c r="E74" s="63">
        <f>SUM(E72:E73)</f>
        <v>0</v>
      </c>
    </row>
    <row r="75" spans="1:5" ht="12.75" customHeight="1" x14ac:dyDescent="0.2">
      <c r="A75" s="15" t="str">
        <f>"   "&amp;Labels!C102</f>
        <v xml:space="preserve">   Total</v>
      </c>
      <c r="B75" s="64">
        <f>SUM(B65,B68:B70,B74)</f>
        <v>0</v>
      </c>
      <c r="C75" s="64">
        <f>SUM(C65,C68:C70,C74)</f>
        <v>0</v>
      </c>
      <c r="D75" s="64">
        <f>SUM(D65,D68:D70,D74)</f>
        <v>0</v>
      </c>
      <c r="E75" s="65">
        <f>SUM(E65,E68:E70,E74)</f>
        <v>0</v>
      </c>
    </row>
    <row r="78" spans="1:5" ht="12.75" customHeight="1" x14ac:dyDescent="0.2">
      <c r="A78" s="11" t="str">
        <f>Labels!B45</f>
        <v>IRR Initial Guess (Yr)</v>
      </c>
      <c r="B78" s="162"/>
    </row>
    <row r="79" spans="1:5" ht="12.75" customHeight="1" x14ac:dyDescent="0.2">
      <c r="A79" s="28" t="str">
        <f>"   "&amp;Labels!B103</f>
        <v xml:space="preserve">   Conv Note</v>
      </c>
      <c r="B79" s="165"/>
    </row>
    <row r="80" spans="1:5" ht="12.75" customHeight="1" x14ac:dyDescent="0.2">
      <c r="A80" s="89" t="str">
        <f>"      "&amp;Labels!B104</f>
        <v xml:space="preserve">      Series B</v>
      </c>
      <c r="B80" s="165">
        <f>Inputs!C33</f>
        <v>0.5</v>
      </c>
    </row>
    <row r="81" spans="1:2" ht="12.75" customHeight="1" x14ac:dyDescent="0.2">
      <c r="A81" s="89" t="str">
        <f>"      "&amp;Labels!B105</f>
        <v xml:space="preserve">      Series A</v>
      </c>
      <c r="B81" s="165">
        <f>Inputs!C34</f>
        <v>0.5</v>
      </c>
    </row>
    <row r="82" spans="1:2" ht="12.75" customHeight="1" x14ac:dyDescent="0.2">
      <c r="A82" s="28" t="str">
        <f>"      "&amp;Labels!C103</f>
        <v xml:space="preserve">      Subtotal</v>
      </c>
      <c r="B82" s="165">
        <f>AVERAGE(B80:B81)</f>
        <v>0.5</v>
      </c>
    </row>
    <row r="83" spans="1:2" ht="12.75" customHeight="1" x14ac:dyDescent="0.2">
      <c r="A83" s="28" t="str">
        <f>"   "&amp;Labels!B106</f>
        <v xml:space="preserve">   Preferred</v>
      </c>
      <c r="B83" s="165"/>
    </row>
    <row r="84" spans="1:2" ht="12.75" customHeight="1" x14ac:dyDescent="0.2">
      <c r="A84" s="89" t="str">
        <f>"      "&amp;Labels!B107</f>
        <v xml:space="preserve">      Series A</v>
      </c>
      <c r="B84" s="165">
        <f>Inputs!C61</f>
        <v>0.5</v>
      </c>
    </row>
    <row r="85" spans="1:2" ht="12.75" customHeight="1" x14ac:dyDescent="0.2">
      <c r="A85" s="28" t="str">
        <f>"      "&amp;Labels!C106</f>
        <v xml:space="preserve">      Subtotal</v>
      </c>
      <c r="B85" s="165">
        <f>Inputs!C61</f>
        <v>0.5</v>
      </c>
    </row>
    <row r="86" spans="1:2" ht="12.75" customHeight="1" x14ac:dyDescent="0.2">
      <c r="A86" s="28" t="str">
        <f>"   "&amp;Labels!B108</f>
        <v xml:space="preserve">   Common</v>
      </c>
      <c r="B86" s="165">
        <f>Inputs!C80</f>
        <v>0.5</v>
      </c>
    </row>
    <row r="87" spans="1:2" ht="12.75" customHeight="1" x14ac:dyDescent="0.2">
      <c r="A87" s="28" t="str">
        <f>"   "&amp;Labels!B109</f>
        <v xml:space="preserve">   Warrant</v>
      </c>
      <c r="B87" s="168">
        <f>0.5</f>
        <v>0.5</v>
      </c>
    </row>
    <row r="88" spans="1:2" ht="12.75" customHeight="1" x14ac:dyDescent="0.2">
      <c r="A88" s="28" t="str">
        <f>"   "&amp;Labels!B110</f>
        <v xml:space="preserve">   Option</v>
      </c>
      <c r="B88" s="165"/>
    </row>
    <row r="89" spans="1:2" ht="12.75" customHeight="1" x14ac:dyDescent="0.2">
      <c r="A89" s="89" t="str">
        <f>"      "&amp;Labels!B111</f>
        <v xml:space="preserve">      Series B</v>
      </c>
      <c r="B89" s="165">
        <f>Inputs!C107</f>
        <v>0.5</v>
      </c>
    </row>
    <row r="90" spans="1:2" ht="12.75" customHeight="1" x14ac:dyDescent="0.2">
      <c r="A90" s="89" t="str">
        <f>"      "&amp;Labels!B112</f>
        <v xml:space="preserve">      Series A</v>
      </c>
      <c r="B90" s="165">
        <f>Inputs!C108</f>
        <v>0.5</v>
      </c>
    </row>
    <row r="91" spans="1:2" ht="12.75" customHeight="1" x14ac:dyDescent="0.2">
      <c r="A91" s="28" t="str">
        <f>"      "&amp;Labels!C110</f>
        <v xml:space="preserve">      Subtotal</v>
      </c>
      <c r="B91" s="165">
        <f>AVERAGE(B89:B90)</f>
        <v>0.5</v>
      </c>
    </row>
    <row r="92" spans="1:2" ht="12.75" customHeight="1" x14ac:dyDescent="0.2">
      <c r="A92" s="15" t="str">
        <f>"   "&amp;Labels!C102</f>
        <v xml:space="preserve">   Total</v>
      </c>
      <c r="B92" s="184">
        <f>AVERAGE(B82,B85:B87,B91)</f>
        <v>0.5</v>
      </c>
    </row>
  </sheetData>
  <mergeCells count="6">
    <mergeCell ref="A6:D6"/>
    <mergeCell ref="A1:D1"/>
    <mergeCell ref="A2:D2"/>
    <mergeCell ref="A3:D3"/>
    <mergeCell ref="A4:D4"/>
    <mergeCell ref="A5:D5"/>
  </mergeCells>
  <pageMargins left="0.25" right="0.25" top="0.5" bottom="0.5" header="0.5" footer="0.5"/>
  <pageSetup paperSize="9" fitToHeight="32767" orientation="landscape"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107"/>
  <sheetViews>
    <sheetView zoomScaleNormal="100" workbookViewId="0"/>
  </sheetViews>
  <sheetFormatPr defaultRowHeight="12.75" customHeight="1" x14ac:dyDescent="0.2"/>
  <cols>
    <col min="1" max="1" width="25.7109375" customWidth="1"/>
    <col min="2" max="2" width="18.85546875" customWidth="1"/>
    <col min="3" max="3" width="14.7109375" customWidth="1"/>
    <col min="4" max="4" width="27.42578125" customWidth="1"/>
    <col min="5" max="5" width="9.5703125"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IF("Plot Support"="(Default Input)","Ignore this sheet in normal use.","Investment Scenario "&amp;1&amp;", Valuation Scenario "&amp;1)</f>
        <v>Investment Scenario 1, Valuation Scenario 1</v>
      </c>
      <c r="B3" s="261"/>
      <c r="C3" s="261"/>
      <c r="D3" s="261"/>
    </row>
    <row r="4" spans="1:5" ht="12.75" customHeight="1" x14ac:dyDescent="0.2">
      <c r="A4" s="261" t="str">
        <f>"Plot Support"</f>
        <v>Plot Support</v>
      </c>
      <c r="B4" s="261"/>
      <c r="C4" s="261"/>
      <c r="D4" s="261"/>
    </row>
    <row r="5" spans="1:5" ht="12.75" customHeight="1" x14ac:dyDescent="0.2">
      <c r="A5" s="261" t="str">
        <f>""</f>
        <v/>
      </c>
      <c r="B5" s="261"/>
      <c r="C5" s="261"/>
      <c r="D5" s="261"/>
    </row>
    <row r="6" spans="1:5" ht="12.75" customHeight="1" x14ac:dyDescent="0.2">
      <c r="A6" s="11" t="str">
        <f>Labels!B75</f>
        <v>Securities</v>
      </c>
      <c r="B6" s="185"/>
      <c r="D6" s="11" t="str">
        <f>Labels!B72</f>
        <v>Rounds</v>
      </c>
      <c r="E6" s="185"/>
    </row>
    <row r="7" spans="1:5" ht="12.75" customHeight="1" x14ac:dyDescent="0.2">
      <c r="A7" s="28" t="str">
        <f>"   "&amp;Labels!B103</f>
        <v xml:space="preserve">   Conv Note</v>
      </c>
      <c r="B7" s="186"/>
      <c r="D7" s="28" t="str">
        <f>"   "&amp;Labels!B98</f>
        <v xml:space="preserve">   Seed</v>
      </c>
      <c r="E7" s="186" t="str">
        <f>Labels!B98</f>
        <v>Seed</v>
      </c>
    </row>
    <row r="8" spans="1:5" ht="12.75" customHeight="1" x14ac:dyDescent="0.2">
      <c r="A8" s="89" t="str">
        <f>"      "&amp;Labels!B104</f>
        <v xml:space="preserve">      Series B</v>
      </c>
      <c r="B8" s="186" t="str">
        <f>Labels!B103&amp;", "&amp;Labels!B104</f>
        <v>Conv Note, Series B</v>
      </c>
      <c r="D8" s="28" t="str">
        <f>"   "&amp;Labels!B99</f>
        <v xml:space="preserve">   Round A</v>
      </c>
      <c r="E8" s="186" t="str">
        <f>Labels!B99</f>
        <v>Round A</v>
      </c>
    </row>
    <row r="9" spans="1:5" ht="12.75" customHeight="1" x14ac:dyDescent="0.2">
      <c r="A9" s="89" t="str">
        <f>"      "&amp;Labels!B105</f>
        <v xml:space="preserve">      Series A</v>
      </c>
      <c r="B9" s="186" t="str">
        <f>Labels!B103&amp;", "&amp;Labels!B105</f>
        <v>Conv Note, Series A</v>
      </c>
      <c r="D9" s="35" t="str">
        <f>"   "&amp;Labels!B100</f>
        <v xml:space="preserve">   Exit</v>
      </c>
      <c r="E9" s="187" t="str">
        <f>Labels!B100</f>
        <v>Exit</v>
      </c>
    </row>
    <row r="10" spans="1:5" ht="12.75" customHeight="1" x14ac:dyDescent="0.2">
      <c r="A10" s="28" t="str">
        <f>"   "&amp;Labels!B106</f>
        <v xml:space="preserve">   Preferred</v>
      </c>
      <c r="B10" s="186"/>
    </row>
    <row r="11" spans="1:5" ht="12.75" customHeight="1" x14ac:dyDescent="0.2">
      <c r="A11" s="89" t="str">
        <f>"      "&amp;Labels!B107</f>
        <v xml:space="preserve">      Series A</v>
      </c>
      <c r="B11" s="186" t="str">
        <f>Labels!B106&amp;", "&amp;Labels!B107</f>
        <v>Preferred, Series A</v>
      </c>
    </row>
    <row r="12" spans="1:5" ht="12.75" customHeight="1" x14ac:dyDescent="0.2">
      <c r="A12" s="28" t="str">
        <f>"   "&amp;Labels!B108</f>
        <v xml:space="preserve">   Common</v>
      </c>
      <c r="B12" s="186" t="str">
        <f>Labels!B108</f>
        <v>Common</v>
      </c>
    </row>
    <row r="13" spans="1:5" ht="12.75" customHeight="1" x14ac:dyDescent="0.2">
      <c r="A13" s="28" t="str">
        <f>"   "&amp;Labels!B109</f>
        <v xml:space="preserve">   Warrant</v>
      </c>
      <c r="B13" s="186" t="str">
        <f>Labels!B109</f>
        <v>Warrant</v>
      </c>
    </row>
    <row r="14" spans="1:5" ht="12.75" customHeight="1" x14ac:dyDescent="0.2">
      <c r="A14" s="28" t="str">
        <f>"   "&amp;Labels!B110</f>
        <v xml:space="preserve">   Option</v>
      </c>
      <c r="B14" s="186"/>
    </row>
    <row r="15" spans="1:5" ht="12.75" customHeight="1" x14ac:dyDescent="0.2">
      <c r="A15" s="89" t="str">
        <f>"      "&amp;Labels!B111</f>
        <v xml:space="preserve">      Series B</v>
      </c>
      <c r="B15" s="186" t="str">
        <f>Labels!B110&amp;", "&amp;Labels!B111</f>
        <v>Option, Series B</v>
      </c>
    </row>
    <row r="16" spans="1:5" ht="12.75" customHeight="1" x14ac:dyDescent="0.2">
      <c r="A16" s="101" t="str">
        <f>"      "&amp;Labels!B112</f>
        <v xml:space="preserve">      Series A</v>
      </c>
      <c r="B16" s="187" t="str">
        <f>Labels!B110&amp;", "&amp;Labels!B112</f>
        <v>Option, Series A</v>
      </c>
    </row>
    <row r="18" spans="1:5" ht="12.75" customHeight="1" x14ac:dyDescent="0.2">
      <c r="B18" s="6" t="str">
        <f>Labels!B41</f>
        <v>Net New Invest</v>
      </c>
      <c r="C18" s="8" t="str">
        <f>Labels!B40</f>
        <v>Net Investment</v>
      </c>
    </row>
    <row r="19" spans="1:5" ht="12.75" customHeight="1" x14ac:dyDescent="0.2">
      <c r="A19" s="11" t="str">
        <f>Labels!B98</f>
        <v>Seed</v>
      </c>
      <c r="B19" s="26">
        <f>Investment!B241</f>
        <v>1</v>
      </c>
      <c r="C19" s="188">
        <f>Investment!B286</f>
        <v>1</v>
      </c>
    </row>
    <row r="20" spans="1:5" ht="12.75" customHeight="1" x14ac:dyDescent="0.2">
      <c r="A20" s="73" t="str">
        <f>Labels!B99</f>
        <v>Round A</v>
      </c>
      <c r="B20" s="74">
        <f>Investment!C241</f>
        <v>0</v>
      </c>
      <c r="C20" s="189">
        <f>Investment!C286</f>
        <v>1</v>
      </c>
    </row>
    <row r="21" spans="1:5" ht="12.75" customHeight="1" x14ac:dyDescent="0.2">
      <c r="A21" s="73" t="str">
        <f>Labels!B100</f>
        <v>Exit</v>
      </c>
      <c r="B21" s="74">
        <f>Investment!D241</f>
        <v>0</v>
      </c>
      <c r="C21" s="189">
        <f>Investment!D286</f>
        <v>1</v>
      </c>
    </row>
    <row r="22" spans="1:5" ht="12.75" customHeight="1" x14ac:dyDescent="0.2">
      <c r="A22" s="4" t="str">
        <f>Labels!C97</f>
        <v>Total</v>
      </c>
      <c r="B22" s="77">
        <f>SUM(B19:B21)</f>
        <v>1</v>
      </c>
      <c r="C22" s="190">
        <f>SUM(C19:C21)</f>
        <v>3</v>
      </c>
    </row>
    <row r="24" spans="1:5" ht="12.75" customHeight="1" x14ac:dyDescent="0.2">
      <c r="A24" s="11" t="str">
        <f>Labels!B27</f>
        <v>Invest by Origin Conv Notes</v>
      </c>
      <c r="B24" s="27"/>
      <c r="D24" s="11" t="str">
        <f>Labels!B34</f>
        <v>Invest End Round Notes</v>
      </c>
      <c r="E24" s="27"/>
    </row>
    <row r="25" spans="1:5" ht="12.75" customHeight="1" x14ac:dyDescent="0.2">
      <c r="A25" s="28" t="str">
        <f>"   "&amp;Labels!B98</f>
        <v xml:space="preserve">   Seed</v>
      </c>
      <c r="B25" s="30">
        <f>Investment!B115</f>
        <v>0</v>
      </c>
      <c r="D25" s="28" t="str">
        <f>"   "&amp;Labels!B98</f>
        <v xml:space="preserve">   Seed</v>
      </c>
      <c r="E25" s="30">
        <f>Investment!B276</f>
        <v>0</v>
      </c>
    </row>
    <row r="26" spans="1:5" ht="12.75" customHeight="1" x14ac:dyDescent="0.2">
      <c r="A26" s="28" t="str">
        <f>"   "&amp;Labels!B99</f>
        <v xml:space="preserve">   Round A</v>
      </c>
      <c r="B26" s="30">
        <f>Investment!C115</f>
        <v>0</v>
      </c>
      <c r="D26" s="28" t="str">
        <f>"   "&amp;Labels!B99</f>
        <v xml:space="preserve">   Round A</v>
      </c>
      <c r="E26" s="30">
        <f>Investment!C276</f>
        <v>0</v>
      </c>
    </row>
    <row r="27" spans="1:5" ht="12.75" customHeight="1" x14ac:dyDescent="0.2">
      <c r="A27" s="28" t="str">
        <f>"   "&amp;Labels!B100</f>
        <v xml:space="preserve">   Exit</v>
      </c>
      <c r="B27" s="30">
        <f>Investment!D115</f>
        <v>0</v>
      </c>
      <c r="D27" s="28" t="str">
        <f>"   "&amp;Labels!B100</f>
        <v xml:space="preserve">   Exit</v>
      </c>
      <c r="E27" s="30">
        <f>Investment!D276</f>
        <v>0</v>
      </c>
    </row>
    <row r="28" spans="1:5" ht="12.75" customHeight="1" x14ac:dyDescent="0.2">
      <c r="A28" s="4"/>
      <c r="B28" s="4"/>
      <c r="D28" s="4"/>
      <c r="E28" s="4"/>
    </row>
    <row r="29" spans="1:5" ht="12.75" customHeight="1" x14ac:dyDescent="0.2">
      <c r="A29" s="73" t="str">
        <f>Labels!B31</f>
        <v>Invest by Origin Preferred</v>
      </c>
      <c r="B29" s="30"/>
      <c r="D29" s="73" t="str">
        <f>Labels!B36</f>
        <v>Invest End Round Preferred</v>
      </c>
      <c r="E29" s="30"/>
    </row>
    <row r="30" spans="1:5" ht="12.75" customHeight="1" x14ac:dyDescent="0.2">
      <c r="A30" s="28" t="str">
        <f>"   "&amp;Labels!B98</f>
        <v xml:space="preserve">   Seed</v>
      </c>
      <c r="B30" s="30">
        <f>Investment!B118</f>
        <v>0</v>
      </c>
      <c r="D30" s="28" t="str">
        <f>"   "&amp;Labels!B98</f>
        <v xml:space="preserve">   Seed</v>
      </c>
      <c r="E30" s="30">
        <f>Investment!B279</f>
        <v>0</v>
      </c>
    </row>
    <row r="31" spans="1:5" ht="12.75" customHeight="1" x14ac:dyDescent="0.2">
      <c r="A31" s="28" t="str">
        <f>"   "&amp;Labels!B99</f>
        <v xml:space="preserve">   Round A</v>
      </c>
      <c r="B31" s="30">
        <f>Investment!C118</f>
        <v>0</v>
      </c>
      <c r="D31" s="28" t="str">
        <f>"   "&amp;Labels!B99</f>
        <v xml:space="preserve">   Round A</v>
      </c>
      <c r="E31" s="30">
        <f>Investment!C279</f>
        <v>0</v>
      </c>
    </row>
    <row r="32" spans="1:5" ht="12.75" customHeight="1" x14ac:dyDescent="0.2">
      <c r="A32" s="28" t="str">
        <f>"   "&amp;Labels!B100</f>
        <v xml:space="preserve">   Exit</v>
      </c>
      <c r="B32" s="30">
        <f>Investment!D118</f>
        <v>0</v>
      </c>
      <c r="D32" s="28" t="str">
        <f>"   "&amp;Labels!B100</f>
        <v xml:space="preserve">   Exit</v>
      </c>
      <c r="E32" s="30">
        <f>Investment!D279</f>
        <v>0</v>
      </c>
    </row>
    <row r="33" spans="1:5" ht="12.75" customHeight="1" x14ac:dyDescent="0.2">
      <c r="A33" s="4"/>
      <c r="B33" s="4"/>
      <c r="D33" s="4"/>
      <c r="E33" s="4"/>
    </row>
    <row r="34" spans="1:5" ht="12.75" customHeight="1" x14ac:dyDescent="0.2">
      <c r="A34" s="73" t="str">
        <f>Labels!B26</f>
        <v>Invest by Origin Common</v>
      </c>
      <c r="B34" s="30"/>
      <c r="D34" s="73" t="str">
        <f>Labels!B33</f>
        <v>Invest End of Round Common</v>
      </c>
      <c r="E34" s="30"/>
    </row>
    <row r="35" spans="1:5" ht="12.75" customHeight="1" x14ac:dyDescent="0.2">
      <c r="A35" s="28" t="str">
        <f>"   "&amp;Labels!B98</f>
        <v xml:space="preserve">   Seed</v>
      </c>
      <c r="B35" s="30">
        <f>Investment!B119</f>
        <v>1</v>
      </c>
      <c r="D35" s="28" t="str">
        <f>"   "&amp;Labels!B98</f>
        <v xml:space="preserve">   Seed</v>
      </c>
      <c r="E35" s="30">
        <f>Investment!B280</f>
        <v>1</v>
      </c>
    </row>
    <row r="36" spans="1:5" ht="12.75" customHeight="1" x14ac:dyDescent="0.2">
      <c r="A36" s="28" t="str">
        <f>"   "&amp;Labels!B99</f>
        <v xml:space="preserve">   Round A</v>
      </c>
      <c r="B36" s="30">
        <f>Investment!C119</f>
        <v>1</v>
      </c>
      <c r="D36" s="28" t="str">
        <f>"   "&amp;Labels!B99</f>
        <v xml:space="preserve">   Round A</v>
      </c>
      <c r="E36" s="30">
        <f>Investment!C280</f>
        <v>1</v>
      </c>
    </row>
    <row r="37" spans="1:5" ht="12.75" customHeight="1" x14ac:dyDescent="0.2">
      <c r="A37" s="28" t="str">
        <f>"   "&amp;Labels!B100</f>
        <v xml:space="preserve">   Exit</v>
      </c>
      <c r="B37" s="30">
        <f>Investment!D119</f>
        <v>1</v>
      </c>
      <c r="D37" s="28" t="str">
        <f>"   "&amp;Labels!B100</f>
        <v xml:space="preserve">   Exit</v>
      </c>
      <c r="E37" s="30">
        <f>Investment!D280</f>
        <v>1</v>
      </c>
    </row>
    <row r="38" spans="1:5" ht="12.75" customHeight="1" x14ac:dyDescent="0.2">
      <c r="A38" s="4"/>
      <c r="B38" s="4"/>
      <c r="D38" s="4"/>
      <c r="E38" s="4"/>
    </row>
    <row r="39" spans="1:5" ht="12.75" customHeight="1" x14ac:dyDescent="0.2">
      <c r="A39" s="73" t="str">
        <f>Labels!B32</f>
        <v>Invest by Origin Warrants</v>
      </c>
      <c r="B39" s="30"/>
      <c r="D39" s="73" t="str">
        <f>Labels!B37</f>
        <v>Invest End Round Warrants</v>
      </c>
      <c r="E39" s="30"/>
    </row>
    <row r="40" spans="1:5" ht="12.75" customHeight="1" x14ac:dyDescent="0.2">
      <c r="A40" s="28" t="str">
        <f>"   "&amp;Labels!B98</f>
        <v xml:space="preserve">   Seed</v>
      </c>
      <c r="B40" s="30">
        <f>Investment!B120</f>
        <v>0</v>
      </c>
      <c r="D40" s="28" t="str">
        <f>"   "&amp;Labels!B98</f>
        <v xml:space="preserve">   Seed</v>
      </c>
      <c r="E40" s="30">
        <f>Investment!B281</f>
        <v>0</v>
      </c>
    </row>
    <row r="41" spans="1:5" ht="12.75" customHeight="1" x14ac:dyDescent="0.2">
      <c r="A41" s="28" t="str">
        <f>"   "&amp;Labels!B99</f>
        <v xml:space="preserve">   Round A</v>
      </c>
      <c r="B41" s="30">
        <f>Investment!C120</f>
        <v>0</v>
      </c>
      <c r="D41" s="28" t="str">
        <f>"   "&amp;Labels!B99</f>
        <v xml:space="preserve">   Round A</v>
      </c>
      <c r="E41" s="30">
        <f>Investment!C281</f>
        <v>0</v>
      </c>
    </row>
    <row r="42" spans="1:5" ht="12.75" customHeight="1" x14ac:dyDescent="0.2">
      <c r="A42" s="28" t="str">
        <f>"   "&amp;Labels!B100</f>
        <v xml:space="preserve">   Exit</v>
      </c>
      <c r="B42" s="30">
        <f>Investment!D120</f>
        <v>0</v>
      </c>
      <c r="D42" s="28" t="str">
        <f>"   "&amp;Labels!B100</f>
        <v xml:space="preserve">   Exit</v>
      </c>
      <c r="E42" s="30">
        <f>Investment!D281</f>
        <v>0</v>
      </c>
    </row>
    <row r="43" spans="1:5" ht="12.75" customHeight="1" x14ac:dyDescent="0.2">
      <c r="A43" s="4"/>
      <c r="B43" s="4"/>
      <c r="D43" s="4"/>
      <c r="E43" s="4"/>
    </row>
    <row r="44" spans="1:5" ht="12.75" customHeight="1" x14ac:dyDescent="0.2">
      <c r="A44" s="73" t="str">
        <f>Labels!B30</f>
        <v>Invest by Origin Options</v>
      </c>
      <c r="B44" s="30"/>
      <c r="D44" s="73" t="str">
        <f>Labels!B35</f>
        <v>Invest End Round Options</v>
      </c>
      <c r="E44" s="30"/>
    </row>
    <row r="45" spans="1:5" ht="12.75" customHeight="1" x14ac:dyDescent="0.2">
      <c r="A45" s="28" t="str">
        <f>"   "&amp;Labels!B98</f>
        <v xml:space="preserve">   Seed</v>
      </c>
      <c r="B45" s="30">
        <f>Investment!B124</f>
        <v>0</v>
      </c>
      <c r="D45" s="28" t="str">
        <f>"   "&amp;Labels!B98</f>
        <v xml:space="preserve">   Seed</v>
      </c>
      <c r="E45" s="30">
        <f>Investment!B285</f>
        <v>0</v>
      </c>
    </row>
    <row r="46" spans="1:5" ht="12.75" customHeight="1" x14ac:dyDescent="0.2">
      <c r="A46" s="28" t="str">
        <f>"   "&amp;Labels!B99</f>
        <v xml:space="preserve">   Round A</v>
      </c>
      <c r="B46" s="30">
        <f>Investment!C124</f>
        <v>0</v>
      </c>
      <c r="D46" s="28" t="str">
        <f>"   "&amp;Labels!B99</f>
        <v xml:space="preserve">   Round A</v>
      </c>
      <c r="E46" s="30">
        <f>Investment!C285</f>
        <v>0</v>
      </c>
    </row>
    <row r="47" spans="1:5" ht="12.75" customHeight="1" x14ac:dyDescent="0.2">
      <c r="A47" s="35" t="str">
        <f>"   "&amp;Labels!B100</f>
        <v xml:space="preserve">   Exit</v>
      </c>
      <c r="B47" s="32">
        <f>Investment!D124</f>
        <v>0</v>
      </c>
      <c r="D47" s="35" t="str">
        <f>"   "&amp;Labels!B100</f>
        <v xml:space="preserve">   Exit</v>
      </c>
      <c r="E47" s="32">
        <f>Investment!D285</f>
        <v>0</v>
      </c>
    </row>
    <row r="49" spans="1:5" ht="12.75" customHeight="1" x14ac:dyDescent="0.2">
      <c r="A49" s="11" t="str">
        <f>Labels!B24</f>
        <v>Firm Value Start</v>
      </c>
      <c r="B49" s="27"/>
    </row>
    <row r="50" spans="1:5" ht="12.75" customHeight="1" x14ac:dyDescent="0.2">
      <c r="A50" s="28" t="str">
        <f>"   "&amp;Labels!B98</f>
        <v xml:space="preserve">   Seed</v>
      </c>
      <c r="B50" s="30">
        <f>Inputs!B121</f>
        <v>1000000</v>
      </c>
    </row>
    <row r="51" spans="1:5" ht="12.75" customHeight="1" x14ac:dyDescent="0.2">
      <c r="A51" s="28" t="str">
        <f>"   "&amp;Labels!B99</f>
        <v xml:space="preserve">   Round A</v>
      </c>
      <c r="B51" s="30">
        <f>Inputs!B122</f>
        <v>1000000</v>
      </c>
    </row>
    <row r="52" spans="1:5" ht="12.75" customHeight="1" x14ac:dyDescent="0.2">
      <c r="A52" s="28" t="str">
        <f>"   "&amp;Labels!B100</f>
        <v xml:space="preserve">   Exit</v>
      </c>
      <c r="B52" s="30">
        <f>Inputs!B123</f>
        <v>1000000</v>
      </c>
    </row>
    <row r="53" spans="1:5" ht="12.75" customHeight="1" x14ac:dyDescent="0.2">
      <c r="A53" s="73" t="str">
        <f>"   "&amp;Labels!C97</f>
        <v xml:space="preserve">   Total</v>
      </c>
      <c r="B53" s="30">
        <f>SUM(B50:B52)</f>
        <v>3000000</v>
      </c>
    </row>
    <row r="54" spans="1:5" ht="12.75" customHeight="1" x14ac:dyDescent="0.2">
      <c r="A54" s="4"/>
      <c r="B54" s="4"/>
    </row>
    <row r="55" spans="1:5" ht="12.75" customHeight="1" x14ac:dyDescent="0.2">
      <c r="A55" s="73" t="str">
        <f>Labels!B23</f>
        <v>Firm Value</v>
      </c>
      <c r="B55" s="30"/>
    </row>
    <row r="56" spans="1:5" ht="12.75" customHeight="1" x14ac:dyDescent="0.2">
      <c r="A56" s="28" t="str">
        <f>"   "&amp;Labels!B98</f>
        <v xml:space="preserve">   Seed</v>
      </c>
      <c r="B56" s="30">
        <f>Valuation!B22</f>
        <v>1000001</v>
      </c>
    </row>
    <row r="57" spans="1:5" ht="12.75" customHeight="1" x14ac:dyDescent="0.2">
      <c r="A57" s="28" t="str">
        <f>"   "&amp;Labels!B99</f>
        <v xml:space="preserve">   Round A</v>
      </c>
      <c r="B57" s="30">
        <f>Valuation!C22</f>
        <v>1000000</v>
      </c>
    </row>
    <row r="58" spans="1:5" ht="12.75" customHeight="1" x14ac:dyDescent="0.2">
      <c r="A58" s="35" t="str">
        <f>"   "&amp;Labels!B100</f>
        <v xml:space="preserve">   Exit</v>
      </c>
      <c r="B58" s="32">
        <f>Valuation!D22</f>
        <v>1000000</v>
      </c>
    </row>
    <row r="60" spans="1:5" ht="12.75" customHeight="1" x14ac:dyDescent="0.2">
      <c r="B60" s="6" t="str">
        <f>Labels!B98</f>
        <v>Seed</v>
      </c>
      <c r="C60" s="7" t="str">
        <f>Labels!B99</f>
        <v>Round A</v>
      </c>
      <c r="D60" s="7" t="str">
        <f>Labels!B100</f>
        <v>Exit</v>
      </c>
      <c r="E60" s="25" t="str">
        <f>Labels!C97</f>
        <v>Total</v>
      </c>
    </row>
    <row r="61" spans="1:5" ht="12.75" customHeight="1" x14ac:dyDescent="0.2">
      <c r="A61" s="11" t="str">
        <f>Labels!B59</f>
        <v>Payout</v>
      </c>
      <c r="B61" s="26"/>
      <c r="C61" s="26"/>
      <c r="D61" s="26"/>
      <c r="E61" s="27"/>
    </row>
    <row r="62" spans="1:5" ht="12.75" customHeight="1" x14ac:dyDescent="0.2">
      <c r="A62" s="28" t="str">
        <f>"   "&amp;Labels!B103</f>
        <v xml:space="preserve">   Conv Note</v>
      </c>
      <c r="B62" s="70"/>
      <c r="C62" s="70"/>
      <c r="D62" s="70"/>
      <c r="E62" s="30"/>
    </row>
    <row r="63" spans="1:5" ht="12.75" customHeight="1" x14ac:dyDescent="0.2">
      <c r="A63" s="89" t="str">
        <f>"      "&amp;Labels!B104</f>
        <v xml:space="preserve">      Series B</v>
      </c>
      <c r="B63" s="91">
        <f>Payout!B43</f>
        <v>0</v>
      </c>
      <c r="C63" s="91">
        <f>Payout!C43</f>
        <v>0</v>
      </c>
      <c r="D63" s="91">
        <f>Payout!D43</f>
        <v>0</v>
      </c>
      <c r="E63" s="30" t="str">
        <f>""</f>
        <v/>
      </c>
    </row>
    <row r="64" spans="1:5" ht="12.75" customHeight="1" x14ac:dyDescent="0.2">
      <c r="A64" s="89" t="str">
        <f>"      "&amp;Labels!B105</f>
        <v xml:space="preserve">      Series A</v>
      </c>
      <c r="B64" s="91">
        <f>Payout!B44</f>
        <v>0</v>
      </c>
      <c r="C64" s="91">
        <f>Payout!C44</f>
        <v>0</v>
      </c>
      <c r="D64" s="91">
        <f>Payout!D44</f>
        <v>0</v>
      </c>
      <c r="E64" s="30" t="str">
        <f>""</f>
        <v/>
      </c>
    </row>
    <row r="65" spans="1:5" ht="12.75" customHeight="1" x14ac:dyDescent="0.2">
      <c r="A65" s="28" t="str">
        <f>"      "&amp;Labels!C103</f>
        <v xml:space="preserve">      Subtotal</v>
      </c>
      <c r="B65" s="70">
        <f>SUM(B63:B64)</f>
        <v>0</v>
      </c>
      <c r="C65" s="70">
        <f>SUM(C63:C64)</f>
        <v>0</v>
      </c>
      <c r="D65" s="70">
        <f>SUM(D63:D64)</f>
        <v>0</v>
      </c>
      <c r="E65" s="30" t="str">
        <f>""</f>
        <v/>
      </c>
    </row>
    <row r="66" spans="1:5" ht="12.75" customHeight="1" x14ac:dyDescent="0.2">
      <c r="A66" s="28" t="str">
        <f>"   "&amp;Labels!B106</f>
        <v xml:space="preserve">   Preferred</v>
      </c>
      <c r="B66" s="70"/>
      <c r="C66" s="70"/>
      <c r="D66" s="70"/>
      <c r="E66" s="30"/>
    </row>
    <row r="67" spans="1:5" ht="12.75" customHeight="1" x14ac:dyDescent="0.2">
      <c r="A67" s="89" t="str">
        <f>"      "&amp;Labels!B107</f>
        <v xml:space="preserve">      Series A</v>
      </c>
      <c r="B67" s="91">
        <f>Payout!B47</f>
        <v>0</v>
      </c>
      <c r="C67" s="91">
        <f>Payout!C47</f>
        <v>0</v>
      </c>
      <c r="D67" s="91">
        <f>Payout!D47</f>
        <v>0</v>
      </c>
      <c r="E67" s="30" t="str">
        <f>""</f>
        <v/>
      </c>
    </row>
    <row r="68" spans="1:5" ht="12.75" customHeight="1" x14ac:dyDescent="0.2">
      <c r="A68" s="28" t="str">
        <f>"      "&amp;Labels!C106</f>
        <v xml:space="preserve">      Subtotal</v>
      </c>
      <c r="B68" s="70">
        <f>SUM(B67)</f>
        <v>0</v>
      </c>
      <c r="C68" s="70">
        <f>SUM(C67)</f>
        <v>0</v>
      </c>
      <c r="D68" s="70">
        <f>SUM(D67)</f>
        <v>0</v>
      </c>
      <c r="E68" s="30" t="str">
        <f>""</f>
        <v/>
      </c>
    </row>
    <row r="69" spans="1:5" ht="12.75" customHeight="1" x14ac:dyDescent="0.2">
      <c r="A69" s="28" t="str">
        <f>"   "&amp;Labels!B108</f>
        <v xml:space="preserve">   Common</v>
      </c>
      <c r="B69" s="70">
        <f>Payout!B49</f>
        <v>1000001</v>
      </c>
      <c r="C69" s="70">
        <f>Payout!C49</f>
        <v>1000000</v>
      </c>
      <c r="D69" s="70">
        <f>Payout!D49</f>
        <v>1000000</v>
      </c>
      <c r="E69" s="30" t="str">
        <f>""</f>
        <v/>
      </c>
    </row>
    <row r="70" spans="1:5" ht="12.75" customHeight="1" x14ac:dyDescent="0.2">
      <c r="A70" s="28" t="str">
        <f>"   "&amp;Labels!B109</f>
        <v xml:space="preserve">   Warrant</v>
      </c>
      <c r="B70" s="70">
        <f>Payout!B50</f>
        <v>0</v>
      </c>
      <c r="C70" s="70">
        <f>Payout!C50</f>
        <v>0</v>
      </c>
      <c r="D70" s="70">
        <f>Payout!D50</f>
        <v>0</v>
      </c>
      <c r="E70" s="30" t="str">
        <f>""</f>
        <v/>
      </c>
    </row>
    <row r="71" spans="1:5" ht="12.75" customHeight="1" x14ac:dyDescent="0.2">
      <c r="A71" s="28" t="str">
        <f>"   "&amp;Labels!B110</f>
        <v xml:space="preserve">   Option</v>
      </c>
      <c r="B71" s="70"/>
      <c r="C71" s="70"/>
      <c r="D71" s="70"/>
      <c r="E71" s="30"/>
    </row>
    <row r="72" spans="1:5" ht="12.75" customHeight="1" x14ac:dyDescent="0.2">
      <c r="A72" s="89" t="str">
        <f>"      "&amp;Labels!B111</f>
        <v xml:space="preserve">      Series B</v>
      </c>
      <c r="B72" s="91">
        <f>Payout!B52</f>
        <v>0</v>
      </c>
      <c r="C72" s="91">
        <f>Payout!C52</f>
        <v>0</v>
      </c>
      <c r="D72" s="91">
        <f>Payout!D52</f>
        <v>0</v>
      </c>
      <c r="E72" s="30" t="str">
        <f>""</f>
        <v/>
      </c>
    </row>
    <row r="73" spans="1:5" ht="12.75" customHeight="1" x14ac:dyDescent="0.2">
      <c r="A73" s="89" t="str">
        <f>"      "&amp;Labels!B112</f>
        <v xml:space="preserve">      Series A</v>
      </c>
      <c r="B73" s="91">
        <f>Payout!B53</f>
        <v>0</v>
      </c>
      <c r="C73" s="91">
        <f>Payout!C53</f>
        <v>0</v>
      </c>
      <c r="D73" s="91">
        <f>Payout!D53</f>
        <v>0</v>
      </c>
      <c r="E73" s="30" t="str">
        <f>""</f>
        <v/>
      </c>
    </row>
    <row r="74" spans="1:5" ht="12.75" customHeight="1" x14ac:dyDescent="0.2">
      <c r="A74" s="28" t="str">
        <f>"      "&amp;Labels!C110</f>
        <v xml:space="preserve">      Subtotal</v>
      </c>
      <c r="B74" s="70">
        <f>SUM(B72:B73)</f>
        <v>0</v>
      </c>
      <c r="C74" s="70">
        <f>SUM(C72:C73)</f>
        <v>0</v>
      </c>
      <c r="D74" s="70">
        <f>SUM(D72:D73)</f>
        <v>0</v>
      </c>
      <c r="E74" s="30" t="str">
        <f>""</f>
        <v/>
      </c>
    </row>
    <row r="75" spans="1:5" ht="12.75" customHeight="1" x14ac:dyDescent="0.2">
      <c r="A75" s="73" t="str">
        <f>"   "&amp;Labels!C102</f>
        <v xml:space="preserve">   Total</v>
      </c>
      <c r="B75" s="74">
        <f>SUM(B65,B68:B70,B74)</f>
        <v>1000001</v>
      </c>
      <c r="C75" s="74">
        <f>SUM(C65,C68:C70,C74)</f>
        <v>1000000</v>
      </c>
      <c r="D75" s="74">
        <f>SUM(D65,D68:D70,D74)</f>
        <v>1000000</v>
      </c>
      <c r="E75" s="30" t="str">
        <f>""</f>
        <v/>
      </c>
    </row>
    <row r="76" spans="1:5" ht="12.75" customHeight="1" x14ac:dyDescent="0.2">
      <c r="A76" s="4"/>
      <c r="B76" s="92"/>
      <c r="C76" s="92"/>
      <c r="D76" s="92"/>
      <c r="E76" s="4"/>
    </row>
    <row r="77" spans="1:5" ht="12.75" customHeight="1" x14ac:dyDescent="0.2">
      <c r="A77" s="11" t="str">
        <f>Labels!B61</f>
        <v>Payout</v>
      </c>
      <c r="B77" s="27"/>
    </row>
    <row r="78" spans="1:5" ht="12.75" customHeight="1" x14ac:dyDescent="0.2">
      <c r="A78" s="28" t="str">
        <f>"   "&amp;Labels!B103</f>
        <v xml:space="preserve">   Conv Note</v>
      </c>
      <c r="B78" s="30"/>
    </row>
    <row r="79" spans="1:5" ht="12.75" customHeight="1" x14ac:dyDescent="0.2">
      <c r="A79" s="89" t="str">
        <f>"      "&amp;Labels!B104</f>
        <v xml:space="preserve">      Series B</v>
      </c>
      <c r="B79" s="30">
        <f>Payout!D8</f>
        <v>0</v>
      </c>
    </row>
    <row r="80" spans="1:5" ht="12.75" customHeight="1" x14ac:dyDescent="0.2">
      <c r="A80" s="89" t="str">
        <f>"      "&amp;Labels!B105</f>
        <v xml:space="preserve">      Series A</v>
      </c>
      <c r="B80" s="30">
        <f>Payout!D9</f>
        <v>0</v>
      </c>
    </row>
    <row r="81" spans="1:2" ht="12.75" customHeight="1" x14ac:dyDescent="0.2">
      <c r="A81" s="28" t="str">
        <f>"      "&amp;Labels!C103</f>
        <v xml:space="preserve">      Subtotal</v>
      </c>
      <c r="B81" s="30">
        <f>Payout!D45</f>
        <v>0</v>
      </c>
    </row>
    <row r="82" spans="1:2" ht="12.75" customHeight="1" x14ac:dyDescent="0.2">
      <c r="A82" s="28" t="str">
        <f>"   "&amp;Labels!B106</f>
        <v xml:space="preserve">   Preferred</v>
      </c>
      <c r="B82" s="30"/>
    </row>
    <row r="83" spans="1:2" ht="12.75" customHeight="1" x14ac:dyDescent="0.2">
      <c r="A83" s="89" t="str">
        <f>"      "&amp;Labels!B107</f>
        <v xml:space="preserve">      Series A</v>
      </c>
      <c r="B83" s="30">
        <f>Payout!D12</f>
        <v>0</v>
      </c>
    </row>
    <row r="84" spans="1:2" ht="12.75" customHeight="1" x14ac:dyDescent="0.2">
      <c r="A84" s="28" t="str">
        <f>"      "&amp;Labels!C106</f>
        <v xml:space="preserve">      Subtotal</v>
      </c>
      <c r="B84" s="30">
        <f>Payout!D48</f>
        <v>0</v>
      </c>
    </row>
    <row r="85" spans="1:2" ht="12.75" customHeight="1" x14ac:dyDescent="0.2">
      <c r="A85" s="28" t="str">
        <f>"   "&amp;Labels!B108</f>
        <v xml:space="preserve">   Common</v>
      </c>
      <c r="B85" s="30">
        <f>Payout!D14</f>
        <v>1000000</v>
      </c>
    </row>
    <row r="86" spans="1:2" ht="12.75" customHeight="1" x14ac:dyDescent="0.2">
      <c r="A86" s="28" t="str">
        <f>"   "&amp;Labels!B109</f>
        <v xml:space="preserve">   Warrant</v>
      </c>
      <c r="B86" s="30">
        <f>Payout!D15</f>
        <v>0</v>
      </c>
    </row>
    <row r="87" spans="1:2" ht="12.75" customHeight="1" x14ac:dyDescent="0.2">
      <c r="A87" s="28" t="str">
        <f>"   "&amp;Labels!B110</f>
        <v xml:space="preserve">   Option</v>
      </c>
      <c r="B87" s="30"/>
    </row>
    <row r="88" spans="1:2" ht="12.75" customHeight="1" x14ac:dyDescent="0.2">
      <c r="A88" s="89" t="str">
        <f>"      "&amp;Labels!B111</f>
        <v xml:space="preserve">      Series B</v>
      </c>
      <c r="B88" s="30">
        <f>Payout!D17</f>
        <v>0</v>
      </c>
    </row>
    <row r="89" spans="1:2" ht="12.75" customHeight="1" x14ac:dyDescent="0.2">
      <c r="A89" s="89" t="str">
        <f>"      "&amp;Labels!B112</f>
        <v xml:space="preserve">      Series A</v>
      </c>
      <c r="B89" s="30">
        <f>Payout!D18</f>
        <v>0</v>
      </c>
    </row>
    <row r="90" spans="1:2" ht="12.75" customHeight="1" x14ac:dyDescent="0.2">
      <c r="A90" s="28" t="str">
        <f>"      "&amp;Labels!C110</f>
        <v xml:space="preserve">      Subtotal</v>
      </c>
      <c r="B90" s="30">
        <f>Payout!D54</f>
        <v>0</v>
      </c>
    </row>
    <row r="91" spans="1:2" ht="12.75" customHeight="1" x14ac:dyDescent="0.2">
      <c r="A91" s="73" t="str">
        <f>"   "&amp;Labels!C102</f>
        <v xml:space="preserve">   Total</v>
      </c>
      <c r="B91" s="30">
        <f>Payout!D55</f>
        <v>1000000</v>
      </c>
    </row>
    <row r="92" spans="1:2" ht="12.75" customHeight="1" x14ac:dyDescent="0.2">
      <c r="A92" s="4"/>
      <c r="B92" s="4"/>
    </row>
    <row r="93" spans="1:2" ht="12.75" customHeight="1" x14ac:dyDescent="0.2">
      <c r="A93" s="73" t="str">
        <f>Labels!B56</f>
        <v>Payout by Origin</v>
      </c>
      <c r="B93" s="30"/>
    </row>
    <row r="94" spans="1:2" ht="12.75" customHeight="1" x14ac:dyDescent="0.2">
      <c r="A94" s="28" t="str">
        <f>"   "&amp;Labels!B103</f>
        <v xml:space="preserve">   Conv Note</v>
      </c>
      <c r="B94" s="30"/>
    </row>
    <row r="95" spans="1:2" ht="12.75" customHeight="1" x14ac:dyDescent="0.2">
      <c r="A95" s="89" t="str">
        <f>"      "&amp;Labels!B104</f>
        <v xml:space="preserve">      Series B</v>
      </c>
      <c r="B95" s="30">
        <f>Investment!D12</f>
        <v>0</v>
      </c>
    </row>
    <row r="96" spans="1:2" ht="12.75" customHeight="1" x14ac:dyDescent="0.2">
      <c r="A96" s="89" t="str">
        <f>"      "&amp;Labels!B105</f>
        <v xml:space="preserve">      Series A</v>
      </c>
      <c r="B96" s="30">
        <f>Investment!D13</f>
        <v>0</v>
      </c>
    </row>
    <row r="97" spans="1:2" ht="12.75" customHeight="1" x14ac:dyDescent="0.2">
      <c r="A97" s="28" t="str">
        <f>"      "&amp;Labels!C103</f>
        <v xml:space="preserve">      Subtotal</v>
      </c>
      <c r="B97" s="30">
        <f>'(Other Variables)'!D276</f>
        <v>0</v>
      </c>
    </row>
    <row r="98" spans="1:2" ht="12.75" customHeight="1" x14ac:dyDescent="0.2">
      <c r="A98" s="28" t="str">
        <f>"   "&amp;Labels!B106</f>
        <v xml:space="preserve">   Preferred</v>
      </c>
      <c r="B98" s="30"/>
    </row>
    <row r="99" spans="1:2" ht="12.75" customHeight="1" x14ac:dyDescent="0.2">
      <c r="A99" s="89" t="str">
        <f>"      "&amp;Labels!B107</f>
        <v xml:space="preserve">      Series A</v>
      </c>
      <c r="B99" s="30">
        <f>Investment!D16</f>
        <v>0</v>
      </c>
    </row>
    <row r="100" spans="1:2" ht="12.75" customHeight="1" x14ac:dyDescent="0.2">
      <c r="A100" s="28" t="str">
        <f>"      "&amp;Labels!C106</f>
        <v xml:space="preserve">      Subtotal</v>
      </c>
      <c r="B100" s="30">
        <f>'(Other Variables)'!D279</f>
        <v>0</v>
      </c>
    </row>
    <row r="101" spans="1:2" ht="12.75" customHeight="1" x14ac:dyDescent="0.2">
      <c r="A101" s="28" t="str">
        <f>"   "&amp;Labels!B108</f>
        <v xml:space="preserve">   Common</v>
      </c>
      <c r="B101" s="30">
        <f>Investment!D18</f>
        <v>1000000</v>
      </c>
    </row>
    <row r="102" spans="1:2" ht="12.75" customHeight="1" x14ac:dyDescent="0.2">
      <c r="A102" s="28" t="str">
        <f>"   "&amp;Labels!B109</f>
        <v xml:space="preserve">   Warrant</v>
      </c>
      <c r="B102" s="30">
        <f>Investment!D19</f>
        <v>0</v>
      </c>
    </row>
    <row r="103" spans="1:2" ht="12.75" customHeight="1" x14ac:dyDescent="0.2">
      <c r="A103" s="28" t="str">
        <f>"   "&amp;Labels!B110</f>
        <v xml:space="preserve">   Option</v>
      </c>
      <c r="B103" s="30"/>
    </row>
    <row r="104" spans="1:2" ht="12.75" customHeight="1" x14ac:dyDescent="0.2">
      <c r="A104" s="89" t="str">
        <f>"      "&amp;Labels!B111</f>
        <v xml:space="preserve">      Series B</v>
      </c>
      <c r="B104" s="30">
        <f>Investment!D21</f>
        <v>0</v>
      </c>
    </row>
    <row r="105" spans="1:2" ht="12.75" customHeight="1" x14ac:dyDescent="0.2">
      <c r="A105" s="89" t="str">
        <f>"      "&amp;Labels!B112</f>
        <v xml:space="preserve">      Series A</v>
      </c>
      <c r="B105" s="30">
        <f>Investment!D22</f>
        <v>0</v>
      </c>
    </row>
    <row r="106" spans="1:2" ht="12.75" customHeight="1" x14ac:dyDescent="0.2">
      <c r="A106" s="28" t="str">
        <f>"      "&amp;Labels!C110</f>
        <v xml:space="preserve">      Subtotal</v>
      </c>
      <c r="B106" s="30">
        <f>'(Other Variables)'!D285</f>
        <v>0</v>
      </c>
    </row>
    <row r="107" spans="1:2" ht="12.75" customHeight="1" x14ac:dyDescent="0.2">
      <c r="A107" s="15" t="str">
        <f>"   "&amp;Labels!C102</f>
        <v xml:space="preserve">   Total</v>
      </c>
      <c r="B107" s="32">
        <f>'(Other Variables)'!D286</f>
        <v>1000000</v>
      </c>
    </row>
  </sheetData>
  <mergeCells count="5">
    <mergeCell ref="A1:D1"/>
    <mergeCell ref="A2:D2"/>
    <mergeCell ref="A3:D3"/>
    <mergeCell ref="A4:D4"/>
    <mergeCell ref="A5:D5"/>
  </mergeCells>
  <pageMargins left="0.25" right="0.25" top="0.5" bottom="0.5" header="0.5" footer="0.5"/>
  <pageSetup paperSize="9" fitToHeight="32767" orientation="landscape"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3"/>
  <sheetViews>
    <sheetView zoomScaleNormal="100" workbookViewId="0"/>
  </sheetViews>
  <sheetFormatPr defaultRowHeight="12.75" customHeight="1" x14ac:dyDescent="0.2"/>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IF("(FnCalls 1)"="(Default Input)","Ignore this sheet in normal use.","Investment Scenario "&amp;1&amp;", Valuation Scenario "&amp;1)</f>
        <v>Investment Scenario 1, Valuation Scenario 1</v>
      </c>
      <c r="B3" s="261"/>
      <c r="C3" s="261"/>
      <c r="D3" s="261"/>
    </row>
    <row r="13" spans="1:5" ht="12.75" customHeight="1" x14ac:dyDescent="0.2">
      <c r="A13" s="1">
        <f>'(Other Variables)'!B21</f>
        <v>0</v>
      </c>
      <c r="B13" s="1">
        <f>'(Other Variables)'!B24</f>
        <v>0</v>
      </c>
      <c r="C13" s="1">
        <f>'(Other Variables)'!B25</f>
        <v>1</v>
      </c>
      <c r="D13" s="1">
        <f>'(Other Variables)'!B26</f>
        <v>1</v>
      </c>
      <c r="E13" s="1">
        <f>'(Other Variables)'!B30</f>
        <v>0</v>
      </c>
    </row>
    <row r="14" spans="1:5" ht="12.75" customHeight="1" x14ac:dyDescent="0.2">
      <c r="A14" s="1">
        <f>'(Other Variables)'!B114</f>
        <v>0</v>
      </c>
      <c r="B14" s="1">
        <f>'(Other Variables)'!B117</f>
        <v>0</v>
      </c>
      <c r="C14" s="1">
        <f>'(Other Variables)'!B118</f>
        <v>0</v>
      </c>
      <c r="D14" s="1">
        <f>'(Other Variables)'!B119</f>
        <v>0</v>
      </c>
      <c r="E14" s="1">
        <f>'(Other Variables)'!B123</f>
        <v>0</v>
      </c>
    </row>
    <row r="15" spans="1:5" ht="12.75" customHeight="1" x14ac:dyDescent="0.2">
      <c r="A15">
        <f>SUMPRODUCT(A13:E13,A14:E14)</f>
        <v>0</v>
      </c>
    </row>
    <row r="17" spans="1:5" ht="12.75" customHeight="1" x14ac:dyDescent="0.2">
      <c r="A17" s="1">
        <f>'(Other Variables)'!C21</f>
        <v>0</v>
      </c>
      <c r="B17" s="1">
        <f>'(Other Variables)'!C24</f>
        <v>0</v>
      </c>
      <c r="C17" s="1">
        <f>'(Other Variables)'!C25</f>
        <v>1000000</v>
      </c>
      <c r="D17" s="1">
        <f>'(Other Variables)'!C26</f>
        <v>1000000</v>
      </c>
      <c r="E17" s="1">
        <f>'(Other Variables)'!C30</f>
        <v>0</v>
      </c>
    </row>
    <row r="18" spans="1:5" ht="12.75" customHeight="1" x14ac:dyDescent="0.2">
      <c r="A18" s="1">
        <f>'(Other Variables)'!C114</f>
        <v>0</v>
      </c>
      <c r="B18" s="1">
        <f>'(Other Variables)'!C117</f>
        <v>0</v>
      </c>
      <c r="C18" s="1">
        <f>'(Other Variables)'!C118</f>
        <v>0</v>
      </c>
      <c r="D18" s="1">
        <f>'(Other Variables)'!C119</f>
        <v>0</v>
      </c>
      <c r="E18" s="1">
        <f>'(Other Variables)'!C123</f>
        <v>0</v>
      </c>
    </row>
    <row r="19" spans="1:5" ht="12.75" customHeight="1" x14ac:dyDescent="0.2">
      <c r="A19">
        <f>SUMPRODUCT(A17:E17,A18:E18)</f>
        <v>0</v>
      </c>
    </row>
    <row r="21" spans="1:5" ht="12.75" customHeight="1" x14ac:dyDescent="0.2">
      <c r="A21" s="1">
        <f>'(Other Variables)'!D21</f>
        <v>0</v>
      </c>
      <c r="B21" s="1">
        <f>'(Other Variables)'!D24</f>
        <v>0</v>
      </c>
      <c r="C21" s="1">
        <f>'(Other Variables)'!D25</f>
        <v>1000000</v>
      </c>
      <c r="D21" s="1">
        <f>'(Other Variables)'!D26</f>
        <v>1000000</v>
      </c>
      <c r="E21" s="1">
        <f>'(Other Variables)'!D30</f>
        <v>0</v>
      </c>
    </row>
    <row r="22" spans="1:5" ht="12.75" customHeight="1" x14ac:dyDescent="0.2">
      <c r="A22" s="1">
        <f>'(Other Variables)'!D114</f>
        <v>0</v>
      </c>
      <c r="B22" s="1">
        <f>'(Other Variables)'!D117</f>
        <v>0</v>
      </c>
      <c r="C22" s="1">
        <f>'(Other Variables)'!D118</f>
        <v>0</v>
      </c>
      <c r="D22" s="1">
        <f>'(Other Variables)'!D119</f>
        <v>0</v>
      </c>
      <c r="E22" s="1">
        <f>'(Other Variables)'!D123</f>
        <v>0</v>
      </c>
    </row>
    <row r="23" spans="1:5" ht="12.75" customHeight="1" x14ac:dyDescent="0.2">
      <c r="A23">
        <f>SUMPRODUCT(A21:E21,A22:E22)</f>
        <v>0</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334"/>
  <sheetViews>
    <sheetView zoomScaleNormal="100" workbookViewId="0"/>
  </sheetViews>
  <sheetFormatPr defaultRowHeight="12.75" customHeight="1" x14ac:dyDescent="0.2"/>
  <cols>
    <col min="1" max="1" width="24.140625" customWidth="1"/>
    <col min="2" max="4" width="10.5703125" customWidth="1"/>
    <col min="5" max="5" width="9.42578125" customWidth="1"/>
  </cols>
  <sheetData>
    <row r="1" spans="1:4" ht="12.75" customHeight="1" x14ac:dyDescent="0.2">
      <c r="A1" s="261" t="str">
        <f>"Capitalization Table"</f>
        <v>Capitalization Table</v>
      </c>
      <c r="B1" s="261"/>
      <c r="C1" s="261"/>
      <c r="D1" s="261"/>
    </row>
    <row r="2" spans="1:4" ht="12.75" customHeight="1" x14ac:dyDescent="0.2">
      <c r="A2" s="261" t="str">
        <f>Inputs!B8</f>
        <v>ABC Corp.</v>
      </c>
      <c r="B2" s="261"/>
      <c r="C2" s="261"/>
      <c r="D2" s="261"/>
    </row>
    <row r="3" spans="1:4" ht="12.75" customHeight="1" x14ac:dyDescent="0.2">
      <c r="A3" s="261" t="str">
        <f>IF("(Other Variables)"="(Default Input)","Ignore this sheet in normal use.","Investment Scenario "&amp;1&amp;", Valuation Scenario "&amp;1)</f>
        <v>Investment Scenario 1, Valuation Scenario 1</v>
      </c>
      <c r="B3" s="261"/>
      <c r="C3" s="261"/>
      <c r="D3" s="261"/>
    </row>
    <row r="4" spans="1:4" ht="12.75" customHeight="1" x14ac:dyDescent="0.2">
      <c r="A4" s="1" t="str">
        <f>Labels!B53</f>
        <v>Exercise Price</v>
      </c>
    </row>
    <row r="5" spans="1:4" ht="12.75" customHeight="1" x14ac:dyDescent="0.2">
      <c r="B5" s="25"/>
    </row>
    <row r="6" spans="1:4" ht="12.75" customHeight="1" x14ac:dyDescent="0.2">
      <c r="A6" s="11" t="str">
        <f>Labels!B103</f>
        <v>Conv Note</v>
      </c>
      <c r="B6" s="52"/>
    </row>
    <row r="7" spans="1:4" ht="12.75" customHeight="1" x14ac:dyDescent="0.2">
      <c r="A7" s="28" t="str">
        <f>"   "&amp;Labels!B104</f>
        <v xml:space="preserve">   Series B</v>
      </c>
      <c r="B7" s="127">
        <f>0</f>
        <v>0</v>
      </c>
    </row>
    <row r="8" spans="1:4" ht="12.75" customHeight="1" x14ac:dyDescent="0.2">
      <c r="A8" s="28" t="str">
        <f>"   "&amp;Labels!B105</f>
        <v xml:space="preserve">   Series A</v>
      </c>
      <c r="B8" s="127">
        <f>0</f>
        <v>0</v>
      </c>
    </row>
    <row r="9" spans="1:4" ht="12.75" customHeight="1" x14ac:dyDescent="0.2">
      <c r="A9" s="73" t="str">
        <f>Labels!B106</f>
        <v>Preferred</v>
      </c>
      <c r="B9" s="191"/>
    </row>
    <row r="10" spans="1:4" ht="12.75" customHeight="1" x14ac:dyDescent="0.2">
      <c r="A10" s="28" t="str">
        <f>"   "&amp;Labels!B107</f>
        <v xml:space="preserve">   Series A</v>
      </c>
      <c r="B10" s="127">
        <f>0</f>
        <v>0</v>
      </c>
    </row>
    <row r="11" spans="1:4" ht="12.75" customHeight="1" x14ac:dyDescent="0.2">
      <c r="A11" s="73" t="str">
        <f>Labels!B108</f>
        <v>Common</v>
      </c>
      <c r="B11" s="191">
        <f>0</f>
        <v>0</v>
      </c>
    </row>
    <row r="12" spans="1:4" ht="12.75" customHeight="1" x14ac:dyDescent="0.2">
      <c r="A12" s="73" t="str">
        <f>Labels!B109</f>
        <v>Warrant</v>
      </c>
      <c r="B12" s="191">
        <f>0</f>
        <v>0</v>
      </c>
    </row>
    <row r="13" spans="1:4" ht="12.75" customHeight="1" x14ac:dyDescent="0.2">
      <c r="A13" s="73" t="str">
        <f>Labels!B110</f>
        <v>Option</v>
      </c>
      <c r="B13" s="191"/>
    </row>
    <row r="14" spans="1:4" ht="12.75" customHeight="1" x14ac:dyDescent="0.2">
      <c r="A14" s="28" t="str">
        <f>"   "&amp;Labels!B111</f>
        <v xml:space="preserve">   Series B</v>
      </c>
      <c r="B14" s="127">
        <f>Inputs!B101</f>
        <v>0</v>
      </c>
    </row>
    <row r="15" spans="1:4" ht="12.75" customHeight="1" x14ac:dyDescent="0.2">
      <c r="A15" s="35" t="str">
        <f>"   "&amp;Labels!B112</f>
        <v xml:space="preserve">   Series A</v>
      </c>
      <c r="B15" s="192">
        <f>Inputs!B102</f>
        <v>0</v>
      </c>
    </row>
    <row r="16" spans="1:4" ht="12.75" customHeight="1" x14ac:dyDescent="0.2">
      <c r="A16" s="1" t="str">
        <f>Labels!B70</f>
        <v>Share Price</v>
      </c>
    </row>
    <row r="17" spans="1:5" ht="12.75" customHeight="1" x14ac:dyDescent="0.2">
      <c r="B17" s="6" t="str">
        <f>Labels!B98</f>
        <v>Seed</v>
      </c>
      <c r="C17" s="7" t="str">
        <f>Labels!B99</f>
        <v>Round A</v>
      </c>
      <c r="D17" s="7" t="str">
        <f>Labels!B100</f>
        <v>Exit</v>
      </c>
      <c r="E17" s="25" t="str">
        <f>Labels!C97</f>
        <v>Total</v>
      </c>
    </row>
    <row r="18" spans="1:5" ht="12.75" customHeight="1" x14ac:dyDescent="0.2">
      <c r="A18" s="11" t="str">
        <f>Labels!B103</f>
        <v>Conv Note</v>
      </c>
      <c r="B18" s="193"/>
      <c r="C18" s="193"/>
      <c r="D18" s="193"/>
      <c r="E18" s="194"/>
    </row>
    <row r="19" spans="1:5" ht="12.75" customHeight="1" x14ac:dyDescent="0.2">
      <c r="A19" s="28" t="str">
        <f>"   "&amp;Labels!B104</f>
        <v xml:space="preserve">   Series B</v>
      </c>
      <c r="B19" s="195">
        <f>0</f>
        <v>0</v>
      </c>
      <c r="C19" s="195">
        <f>0</f>
        <v>0</v>
      </c>
      <c r="D19" s="195">
        <f>0</f>
        <v>0</v>
      </c>
      <c r="E19" s="196" t="str">
        <f>""</f>
        <v/>
      </c>
    </row>
    <row r="20" spans="1:5" ht="12.75" customHeight="1" x14ac:dyDescent="0.2">
      <c r="A20" s="28" t="str">
        <f>"   "&amp;Labels!B105</f>
        <v xml:space="preserve">   Series A</v>
      </c>
      <c r="B20" s="195">
        <f>0</f>
        <v>0</v>
      </c>
      <c r="C20" s="195">
        <f>0</f>
        <v>0</v>
      </c>
      <c r="D20" s="195">
        <f>0</f>
        <v>0</v>
      </c>
      <c r="E20" s="196" t="str">
        <f>""</f>
        <v/>
      </c>
    </row>
    <row r="21" spans="1:5" ht="12.75" customHeight="1" x14ac:dyDescent="0.2">
      <c r="A21" s="73" t="str">
        <f>"   "&amp;Labels!C103</f>
        <v xml:space="preserve">   Subtotal</v>
      </c>
      <c r="B21" s="197">
        <f>IF(SUM(B112:B113)=0,0,SUMPRODUCT(B19:B20,B112:B113)/SUM(B112:B113))</f>
        <v>0</v>
      </c>
      <c r="C21" s="197">
        <f>IF(SUM(C112:C113)=0,0,SUMPRODUCT(C19:C20,C112:C113)/SUM(C112:C113))</f>
        <v>0</v>
      </c>
      <c r="D21" s="197">
        <f>IF(SUM(D112:D113)=0,0,SUMPRODUCT(D19:D20,D112:D113)/SUM(D112:D113))</f>
        <v>0</v>
      </c>
      <c r="E21" s="196" t="str">
        <f>""</f>
        <v/>
      </c>
    </row>
    <row r="22" spans="1:5" ht="12.75" customHeight="1" x14ac:dyDescent="0.2">
      <c r="A22" s="73" t="str">
        <f>Labels!B106</f>
        <v>Preferred</v>
      </c>
      <c r="B22" s="197"/>
      <c r="C22" s="197"/>
      <c r="D22" s="197"/>
      <c r="E22" s="196"/>
    </row>
    <row r="23" spans="1:5" ht="12.75" customHeight="1" x14ac:dyDescent="0.2">
      <c r="A23" s="28" t="str">
        <f>"   "&amp;Labels!B107</f>
        <v xml:space="preserve">   Series A</v>
      </c>
      <c r="B23" s="195">
        <f>B25*1+B25*Inputs!B50</f>
        <v>1.1000000000000001</v>
      </c>
      <c r="C23" s="195">
        <f>C25*1+C25*Inputs!C50</f>
        <v>1100000</v>
      </c>
      <c r="D23" s="195">
        <f>D25*1+D25*Inputs!D50</f>
        <v>1100000</v>
      </c>
      <c r="E23" s="196" t="str">
        <f>""</f>
        <v/>
      </c>
    </row>
    <row r="24" spans="1:5" ht="12.75" customHeight="1" x14ac:dyDescent="0.2">
      <c r="A24" s="73" t="str">
        <f>"   "&amp;Labels!C106</f>
        <v xml:space="preserve">   Subtotal</v>
      </c>
      <c r="B24" s="197">
        <f>IF(SUM(B116)=0,0,SUMPRODUCT(B23,B116)/SUM(B116))</f>
        <v>0</v>
      </c>
      <c r="C24" s="197">
        <f>IF(SUM(C116)=0,0,SUMPRODUCT(C23,C116)/SUM(C116))</f>
        <v>0</v>
      </c>
      <c r="D24" s="197">
        <f>IF(SUM(D116)=0,0,SUMPRODUCT(D23,D116)/SUM(D116))</f>
        <v>0</v>
      </c>
      <c r="E24" s="196" t="str">
        <f>""</f>
        <v/>
      </c>
    </row>
    <row r="25" spans="1:5" ht="12.75" customHeight="1" x14ac:dyDescent="0.2">
      <c r="A25" s="73" t="str">
        <f>Labels!B108</f>
        <v>Common</v>
      </c>
      <c r="B25" s="197">
        <f>IF(1=1,Inputs!B71,B190/(Shares!B56+Shares!B58+Shares!B62+Shares!B57)+(-Investment!B55)/(Shares!B56+Shares!B58+Shares!B62+Shares!B57)+(-Investment!B58)/(Shares!B56+Shares!B58+Shares!B62+Shares!B57))</f>
        <v>1</v>
      </c>
      <c r="C25" s="197">
        <f>IF(2=1,Inputs!B71,C190/(Shares!C56+Shares!C58+Shares!C62+Shares!C57)+(-Investment!C55)/(Shares!C56+Shares!C58+Shares!C62+Shares!C57)+(-Investment!C58)/(Shares!C56+Shares!C58+Shares!C62+Shares!C57))</f>
        <v>1000000</v>
      </c>
      <c r="D25" s="197">
        <f>IF(3=1,Inputs!B71,D190/(Shares!D56+Shares!D58+Shares!D62+Shares!D57)+(-Investment!D55)/(Shares!D56+Shares!D58+Shares!D62+Shares!D57)+(-Investment!D58)/(Shares!D56+Shares!D58+Shares!D62+Shares!D57))</f>
        <v>1000000</v>
      </c>
      <c r="E25" s="196" t="str">
        <f>""</f>
        <v/>
      </c>
    </row>
    <row r="26" spans="1:5" ht="12.75" customHeight="1" x14ac:dyDescent="0.2">
      <c r="A26" s="73" t="str">
        <f>Labels!B109</f>
        <v>Warrant</v>
      </c>
      <c r="B26" s="197">
        <f>MAX(0,B25-B12)</f>
        <v>1</v>
      </c>
      <c r="C26" s="197">
        <f>MAX(0,C25-B12)</f>
        <v>1000000</v>
      </c>
      <c r="D26" s="197">
        <f>MAX(0,D25-B12)</f>
        <v>1000000</v>
      </c>
      <c r="E26" s="196" t="str">
        <f>""</f>
        <v/>
      </c>
    </row>
    <row r="27" spans="1:5" ht="12.75" customHeight="1" x14ac:dyDescent="0.2">
      <c r="A27" s="73" t="str">
        <f>Labels!B110</f>
        <v>Option</v>
      </c>
      <c r="B27" s="197"/>
      <c r="C27" s="197"/>
      <c r="D27" s="197"/>
      <c r="E27" s="196"/>
    </row>
    <row r="28" spans="1:5" ht="12.75" customHeight="1" x14ac:dyDescent="0.2">
      <c r="A28" s="28" t="str">
        <f>"   "&amp;Labels!B111</f>
        <v xml:space="preserve">   Series B</v>
      </c>
      <c r="B28" s="195">
        <f>MAX(0,B25-B14)</f>
        <v>1</v>
      </c>
      <c r="C28" s="195">
        <f>MAX(0,C25-B14)</f>
        <v>1000000</v>
      </c>
      <c r="D28" s="195">
        <f>MAX(0,D25-B14)</f>
        <v>1000000</v>
      </c>
      <c r="E28" s="196" t="str">
        <f>""</f>
        <v/>
      </c>
    </row>
    <row r="29" spans="1:5" ht="12.75" customHeight="1" x14ac:dyDescent="0.2">
      <c r="A29" s="28" t="str">
        <f>"   "&amp;Labels!B112</f>
        <v xml:space="preserve">   Series A</v>
      </c>
      <c r="B29" s="195">
        <f>MAX(0,B25-B15)</f>
        <v>1</v>
      </c>
      <c r="C29" s="195">
        <f>MAX(0,C25-B15)</f>
        <v>1000000</v>
      </c>
      <c r="D29" s="195">
        <f>MAX(0,D25-B15)</f>
        <v>1000000</v>
      </c>
      <c r="E29" s="196" t="str">
        <f>""</f>
        <v/>
      </c>
    </row>
    <row r="30" spans="1:5" ht="12.75" customHeight="1" x14ac:dyDescent="0.2">
      <c r="A30" s="73" t="str">
        <f>"   "&amp;Labels!C110</f>
        <v xml:space="preserve">   Subtotal</v>
      </c>
      <c r="B30" s="197">
        <f>IF(SUM(B121:B122)=0,0,SUMPRODUCT(B28:B29,B121:B122)/SUM(B121:B122))</f>
        <v>0</v>
      </c>
      <c r="C30" s="197">
        <f>IF(SUM(C121:C122)=0,0,SUMPRODUCT(C28:C29,C121:C122)/SUM(C121:C122))</f>
        <v>0</v>
      </c>
      <c r="D30" s="197">
        <f>IF(SUM(D121:D122)=0,0,SUMPRODUCT(D28:D29,D121:D122)/SUM(D121:D122))</f>
        <v>0</v>
      </c>
      <c r="E30" s="196" t="str">
        <f>""</f>
        <v/>
      </c>
    </row>
    <row r="31" spans="1:5" ht="12.75" customHeight="1" x14ac:dyDescent="0.2">
      <c r="A31" s="4" t="str">
        <f>Labels!C102</f>
        <v>Total</v>
      </c>
      <c r="B31" s="198">
        <f>IF(SUM(B114,B117:B119,B123)=0,0,'(FnCalls 1)'!A15/SUM(B114,B117:B119,B123))</f>
        <v>0</v>
      </c>
      <c r="C31" s="198">
        <f>IF(SUM(C114,C117:C119,C123)=0,0,'(FnCalls 1)'!A19/SUM(C114,C117:C119,C123))</f>
        <v>0</v>
      </c>
      <c r="D31" s="198">
        <f>IF(SUM(D114,D117:D119,D123)=0,0,'(FnCalls 1)'!A23/SUM(D114,D117:D119,D123))</f>
        <v>0</v>
      </c>
      <c r="E31" s="199" t="str">
        <f>""</f>
        <v/>
      </c>
    </row>
    <row r="32" spans="1:5" ht="12.75" customHeight="1" x14ac:dyDescent="0.2">
      <c r="A32" s="1" t="str">
        <f>Labels!B52</f>
        <v>Exercise Amt</v>
      </c>
    </row>
    <row r="33" spans="1:5" ht="12.75" customHeight="1" x14ac:dyDescent="0.2">
      <c r="B33" s="6" t="str">
        <f>Labels!B98</f>
        <v>Seed</v>
      </c>
      <c r="C33" s="7" t="str">
        <f>Labels!B99</f>
        <v>Round A</v>
      </c>
      <c r="D33" s="7" t="str">
        <f>Labels!B100</f>
        <v>Exit</v>
      </c>
      <c r="E33" s="25" t="str">
        <f>Labels!C97</f>
        <v>Total</v>
      </c>
    </row>
    <row r="34" spans="1:5" ht="12.75" customHeight="1" x14ac:dyDescent="0.2">
      <c r="A34" s="11" t="str">
        <f>Labels!B91</f>
        <v>Start</v>
      </c>
      <c r="B34" s="26"/>
      <c r="C34" s="26"/>
      <c r="D34" s="26"/>
      <c r="E34" s="27"/>
    </row>
    <row r="35" spans="1:5" ht="12.75" customHeight="1" x14ac:dyDescent="0.2">
      <c r="A35" s="28" t="str">
        <f>"   "&amp;Labels!B103</f>
        <v xml:space="preserve">   Conv Note</v>
      </c>
      <c r="B35" s="70"/>
      <c r="C35" s="70"/>
      <c r="D35" s="70"/>
      <c r="E35" s="30"/>
    </row>
    <row r="36" spans="1:5" ht="12.75" customHeight="1" x14ac:dyDescent="0.2">
      <c r="A36" s="89" t="str">
        <f>"      "&amp;Labels!B104</f>
        <v xml:space="preserve">      Series B</v>
      </c>
      <c r="B36" s="91">
        <f>0</f>
        <v>0</v>
      </c>
      <c r="C36" s="91">
        <f>B96</f>
        <v>0</v>
      </c>
      <c r="D36" s="91">
        <f>C96</f>
        <v>0</v>
      </c>
      <c r="E36" s="30">
        <f>SUM(B36:D36)</f>
        <v>0</v>
      </c>
    </row>
    <row r="37" spans="1:5" ht="12.75" customHeight="1" x14ac:dyDescent="0.2">
      <c r="A37" s="89" t="str">
        <f>"      "&amp;Labels!B105</f>
        <v xml:space="preserve">      Series A</v>
      </c>
      <c r="B37" s="91">
        <f>0</f>
        <v>0</v>
      </c>
      <c r="C37" s="91">
        <f>B97</f>
        <v>0</v>
      </c>
      <c r="D37" s="91">
        <f>C97</f>
        <v>0</v>
      </c>
      <c r="E37" s="30">
        <f>SUM(B37:D37)</f>
        <v>0</v>
      </c>
    </row>
    <row r="38" spans="1:5" ht="12.75" customHeight="1" x14ac:dyDescent="0.2">
      <c r="A38" s="28" t="str">
        <f>"      "&amp;Labels!C103</f>
        <v xml:space="preserve">      Subtotal</v>
      </c>
      <c r="B38" s="70">
        <f>SUM(B36:B37)</f>
        <v>0</v>
      </c>
      <c r="C38" s="70">
        <f>SUM(C36:C37)</f>
        <v>0</v>
      </c>
      <c r="D38" s="70">
        <f>SUM(D36:D37)</f>
        <v>0</v>
      </c>
      <c r="E38" s="30">
        <f>SUM(E36:E37)</f>
        <v>0</v>
      </c>
    </row>
    <row r="39" spans="1:5" ht="12.75" customHeight="1" x14ac:dyDescent="0.2">
      <c r="A39" s="28" t="str">
        <f>"   "&amp;Labels!B106</f>
        <v xml:space="preserve">   Preferred</v>
      </c>
      <c r="B39" s="70"/>
      <c r="C39" s="70"/>
      <c r="D39" s="70"/>
      <c r="E39" s="30"/>
    </row>
    <row r="40" spans="1:5" ht="12.75" customHeight="1" x14ac:dyDescent="0.2">
      <c r="A40" s="89" t="str">
        <f>"      "&amp;Labels!B107</f>
        <v xml:space="preserve">      Series A</v>
      </c>
      <c r="B40" s="91">
        <f>0</f>
        <v>0</v>
      </c>
      <c r="C40" s="91">
        <f>B100</f>
        <v>0</v>
      </c>
      <c r="D40" s="91">
        <f>C100</f>
        <v>0</v>
      </c>
      <c r="E40" s="30">
        <f>SUM(B40:D40)</f>
        <v>0</v>
      </c>
    </row>
    <row r="41" spans="1:5" ht="12.75" customHeight="1" x14ac:dyDescent="0.2">
      <c r="A41" s="28" t="str">
        <f>"      "&amp;Labels!C106</f>
        <v xml:space="preserve">      Subtotal</v>
      </c>
      <c r="B41" s="70">
        <f>B40</f>
        <v>0</v>
      </c>
      <c r="C41" s="70">
        <f>C40</f>
        <v>0</v>
      </c>
      <c r="D41" s="70">
        <f>D40</f>
        <v>0</v>
      </c>
      <c r="E41" s="30">
        <f>E40</f>
        <v>0</v>
      </c>
    </row>
    <row r="42" spans="1:5" ht="12.75" customHeight="1" x14ac:dyDescent="0.2">
      <c r="A42" s="28" t="str">
        <f>"   "&amp;Labels!B108</f>
        <v xml:space="preserve">   Common</v>
      </c>
      <c r="B42" s="70">
        <f>0</f>
        <v>0</v>
      </c>
      <c r="C42" s="70">
        <f>B102</f>
        <v>0</v>
      </c>
      <c r="D42" s="70">
        <f>C102</f>
        <v>0</v>
      </c>
      <c r="E42" s="30">
        <f>SUM(B42:D42)</f>
        <v>0</v>
      </c>
    </row>
    <row r="43" spans="1:5" ht="12.75" customHeight="1" x14ac:dyDescent="0.2">
      <c r="A43" s="28" t="str">
        <f>"   "&amp;Labels!B109</f>
        <v xml:space="preserve">   Warrant</v>
      </c>
      <c r="B43" s="70">
        <f>Options!B13</f>
        <v>0</v>
      </c>
      <c r="C43" s="70">
        <f>Options!C13</f>
        <v>0</v>
      </c>
      <c r="D43" s="70">
        <f>Options!D13</f>
        <v>0</v>
      </c>
      <c r="E43" s="30">
        <f>SUM(B43:D43)</f>
        <v>0</v>
      </c>
    </row>
    <row r="44" spans="1:5" ht="12.75" customHeight="1" x14ac:dyDescent="0.2">
      <c r="A44" s="28" t="str">
        <f>"   "&amp;Labels!B110</f>
        <v xml:space="preserve">   Option</v>
      </c>
      <c r="B44" s="70"/>
      <c r="C44" s="70"/>
      <c r="D44" s="70"/>
      <c r="E44" s="30"/>
    </row>
    <row r="45" spans="1:5" ht="12.75" customHeight="1" x14ac:dyDescent="0.2">
      <c r="A45" s="89" t="str">
        <f>"      "&amp;Labels!B111</f>
        <v xml:space="preserve">      Series B</v>
      </c>
      <c r="B45" s="91">
        <f>Options!B27</f>
        <v>0</v>
      </c>
      <c r="C45" s="91">
        <f>Options!C27</f>
        <v>0</v>
      </c>
      <c r="D45" s="91">
        <f>Options!D27</f>
        <v>0</v>
      </c>
      <c r="E45" s="30">
        <f>SUM(B45:D45)</f>
        <v>0</v>
      </c>
    </row>
    <row r="46" spans="1:5" ht="12.75" customHeight="1" x14ac:dyDescent="0.2">
      <c r="A46" s="89" t="str">
        <f>"      "&amp;Labels!B112</f>
        <v xml:space="preserve">      Series A</v>
      </c>
      <c r="B46" s="91">
        <f>Options!B28</f>
        <v>0</v>
      </c>
      <c r="C46" s="91">
        <f>Options!C28</f>
        <v>0</v>
      </c>
      <c r="D46" s="91">
        <f>Options!D28</f>
        <v>0</v>
      </c>
      <c r="E46" s="30">
        <f>SUM(B46:D46)</f>
        <v>0</v>
      </c>
    </row>
    <row r="47" spans="1:5" ht="12.75" customHeight="1" x14ac:dyDescent="0.2">
      <c r="A47" s="28" t="str">
        <f>"      "&amp;Labels!C110</f>
        <v xml:space="preserve">      Subtotal</v>
      </c>
      <c r="B47" s="70">
        <f>SUM(B45:B46)</f>
        <v>0</v>
      </c>
      <c r="C47" s="70">
        <f>SUM(C45:C46)</f>
        <v>0</v>
      </c>
      <c r="D47" s="70">
        <f>SUM(D45:D46)</f>
        <v>0</v>
      </c>
      <c r="E47" s="30">
        <f>SUM(E45:E46)</f>
        <v>0</v>
      </c>
    </row>
    <row r="48" spans="1:5" ht="12.75" customHeight="1" x14ac:dyDescent="0.2">
      <c r="A48" s="73" t="str">
        <f>"   "&amp;Labels!C102</f>
        <v xml:space="preserve">   Total</v>
      </c>
      <c r="B48" s="74">
        <f>SUM(B38,B41:B43,B47)</f>
        <v>0</v>
      </c>
      <c r="C48" s="74">
        <f>SUM(C38,C41:C43,C47)</f>
        <v>0</v>
      </c>
      <c r="D48" s="74">
        <f>SUM(D38,D41:D43,D47)</f>
        <v>0</v>
      </c>
      <c r="E48" s="30">
        <f>SUM(E38,E41:E43,E47)</f>
        <v>0</v>
      </c>
    </row>
    <row r="49" spans="1:5" ht="12.75" customHeight="1" x14ac:dyDescent="0.2">
      <c r="A49" s="73" t="str">
        <f>Labels!B92</f>
        <v>New Sales</v>
      </c>
      <c r="B49" s="74"/>
      <c r="C49" s="74"/>
      <c r="D49" s="74"/>
      <c r="E49" s="30"/>
    </row>
    <row r="50" spans="1:5" ht="12.75" customHeight="1" x14ac:dyDescent="0.2">
      <c r="A50" s="28" t="str">
        <f>"   "&amp;Labels!B103</f>
        <v xml:space="preserve">   Conv Note</v>
      </c>
      <c r="B50" s="70"/>
      <c r="C50" s="70"/>
      <c r="D50" s="70"/>
      <c r="E50" s="30"/>
    </row>
    <row r="51" spans="1:5" ht="12.75" customHeight="1" x14ac:dyDescent="0.2">
      <c r="A51" s="89" t="str">
        <f>"      "&amp;Labels!B104</f>
        <v xml:space="preserve">      Series B</v>
      </c>
      <c r="B51" s="91">
        <f>B112*B7</f>
        <v>0</v>
      </c>
      <c r="C51" s="91">
        <f>C112*B7</f>
        <v>0</v>
      </c>
      <c r="D51" s="91">
        <f>D112*B7</f>
        <v>0</v>
      </c>
      <c r="E51" s="30">
        <f>SUM(B51:D51)</f>
        <v>0</v>
      </c>
    </row>
    <row r="52" spans="1:5" ht="12.75" customHeight="1" x14ac:dyDescent="0.2">
      <c r="A52" s="89" t="str">
        <f>"      "&amp;Labels!B105</f>
        <v xml:space="preserve">      Series A</v>
      </c>
      <c r="B52" s="91">
        <f>B113*B8</f>
        <v>0</v>
      </c>
      <c r="C52" s="91">
        <f>C113*B8</f>
        <v>0</v>
      </c>
      <c r="D52" s="91">
        <f>D113*B8</f>
        <v>0</v>
      </c>
      <c r="E52" s="30">
        <f>SUM(B52:D52)</f>
        <v>0</v>
      </c>
    </row>
    <row r="53" spans="1:5" ht="12.75" customHeight="1" x14ac:dyDescent="0.2">
      <c r="A53" s="28" t="str">
        <f>"      "&amp;Labels!C103</f>
        <v xml:space="preserve">      Subtotal</v>
      </c>
      <c r="B53" s="70">
        <f>SUM(B51:B52)</f>
        <v>0</v>
      </c>
      <c r="C53" s="70">
        <f>SUM(C51:C52)</f>
        <v>0</v>
      </c>
      <c r="D53" s="70">
        <f>SUM(D51:D52)</f>
        <v>0</v>
      </c>
      <c r="E53" s="30">
        <f>SUM(E51:E52)</f>
        <v>0</v>
      </c>
    </row>
    <row r="54" spans="1:5" ht="12.75" customHeight="1" x14ac:dyDescent="0.2">
      <c r="A54" s="28" t="str">
        <f>"   "&amp;Labels!B106</f>
        <v xml:space="preserve">   Preferred</v>
      </c>
      <c r="B54" s="70"/>
      <c r="C54" s="70"/>
      <c r="D54" s="70"/>
      <c r="E54" s="30"/>
    </row>
    <row r="55" spans="1:5" ht="12.75" customHeight="1" x14ac:dyDescent="0.2">
      <c r="A55" s="89" t="str">
        <f>"      "&amp;Labels!B107</f>
        <v xml:space="preserve">      Series A</v>
      </c>
      <c r="B55" s="91">
        <f>B116*B10</f>
        <v>0</v>
      </c>
      <c r="C55" s="91">
        <f>C116*B10</f>
        <v>0</v>
      </c>
      <c r="D55" s="91">
        <f>D116*B10</f>
        <v>0</v>
      </c>
      <c r="E55" s="30">
        <f>SUM(B55:D55)</f>
        <v>0</v>
      </c>
    </row>
    <row r="56" spans="1:5" ht="12.75" customHeight="1" x14ac:dyDescent="0.2">
      <c r="A56" s="28" t="str">
        <f>"      "&amp;Labels!C106</f>
        <v xml:space="preserve">      Subtotal</v>
      </c>
      <c r="B56" s="70">
        <f>B55</f>
        <v>0</v>
      </c>
      <c r="C56" s="70">
        <f>C55</f>
        <v>0</v>
      </c>
      <c r="D56" s="70">
        <f>D55</f>
        <v>0</v>
      </c>
      <c r="E56" s="30">
        <f>E55</f>
        <v>0</v>
      </c>
    </row>
    <row r="57" spans="1:5" ht="12.75" customHeight="1" x14ac:dyDescent="0.2">
      <c r="A57" s="28" t="str">
        <f>"   "&amp;Labels!B108</f>
        <v xml:space="preserve">   Common</v>
      </c>
      <c r="B57" s="70">
        <f>B118*B11</f>
        <v>0</v>
      </c>
      <c r="C57" s="70">
        <f>C118*B11</f>
        <v>0</v>
      </c>
      <c r="D57" s="70">
        <f>D118*B11</f>
        <v>0</v>
      </c>
      <c r="E57" s="30">
        <f>SUM(B57:D57)</f>
        <v>0</v>
      </c>
    </row>
    <row r="58" spans="1:5" ht="12.75" customHeight="1" x14ac:dyDescent="0.2">
      <c r="A58" s="28" t="str">
        <f>"   "&amp;Labels!B109</f>
        <v xml:space="preserve">   Warrant</v>
      </c>
      <c r="B58" s="70">
        <f>Options!B14</f>
        <v>0</v>
      </c>
      <c r="C58" s="70">
        <f>Options!C14</f>
        <v>0</v>
      </c>
      <c r="D58" s="70">
        <f>Options!D14</f>
        <v>0</v>
      </c>
      <c r="E58" s="30">
        <f>SUM(B58:D58)</f>
        <v>0</v>
      </c>
    </row>
    <row r="59" spans="1:5" ht="12.75" customHeight="1" x14ac:dyDescent="0.2">
      <c r="A59" s="28" t="str">
        <f>"   "&amp;Labels!B110</f>
        <v xml:space="preserve">   Option</v>
      </c>
      <c r="B59" s="70"/>
      <c r="C59" s="70"/>
      <c r="D59" s="70"/>
      <c r="E59" s="30"/>
    </row>
    <row r="60" spans="1:5" ht="12.75" customHeight="1" x14ac:dyDescent="0.2">
      <c r="A60" s="89" t="str">
        <f>"      "&amp;Labels!B111</f>
        <v xml:space="preserve">      Series B</v>
      </c>
      <c r="B60" s="91">
        <f>Options!B31</f>
        <v>0</v>
      </c>
      <c r="C60" s="91">
        <f>Options!C31</f>
        <v>0</v>
      </c>
      <c r="D60" s="91">
        <f>Options!D31</f>
        <v>0</v>
      </c>
      <c r="E60" s="30">
        <f>SUM(B60:D60)</f>
        <v>0</v>
      </c>
    </row>
    <row r="61" spans="1:5" ht="12.75" customHeight="1" x14ac:dyDescent="0.2">
      <c r="A61" s="89" t="str">
        <f>"      "&amp;Labels!B112</f>
        <v xml:space="preserve">      Series A</v>
      </c>
      <c r="B61" s="91">
        <f>Options!B32</f>
        <v>0</v>
      </c>
      <c r="C61" s="91">
        <f>Options!C32</f>
        <v>0</v>
      </c>
      <c r="D61" s="91">
        <f>Options!D32</f>
        <v>0</v>
      </c>
      <c r="E61" s="30">
        <f>SUM(B61:D61)</f>
        <v>0</v>
      </c>
    </row>
    <row r="62" spans="1:5" ht="12.75" customHeight="1" x14ac:dyDescent="0.2">
      <c r="A62" s="28" t="str">
        <f>"      "&amp;Labels!C110</f>
        <v xml:space="preserve">      Subtotal</v>
      </c>
      <c r="B62" s="70">
        <f>SUM(B60:B61)</f>
        <v>0</v>
      </c>
      <c r="C62" s="70">
        <f>SUM(C60:C61)</f>
        <v>0</v>
      </c>
      <c r="D62" s="70">
        <f>SUM(D60:D61)</f>
        <v>0</v>
      </c>
      <c r="E62" s="30">
        <f>SUM(E60:E61)</f>
        <v>0</v>
      </c>
    </row>
    <row r="63" spans="1:5" ht="12.75" customHeight="1" x14ac:dyDescent="0.2">
      <c r="A63" s="73" t="str">
        <f>"   "&amp;Labels!C102</f>
        <v xml:space="preserve">   Total</v>
      </c>
      <c r="B63" s="74">
        <f>SUM(B53,B56:B58,B62)</f>
        <v>0</v>
      </c>
      <c r="C63" s="74">
        <f>SUM(C53,C56:C58,C62)</f>
        <v>0</v>
      </c>
      <c r="D63" s="74">
        <f>SUM(D53,D56:D58,D62)</f>
        <v>0</v>
      </c>
      <c r="E63" s="30">
        <f>SUM(E53,E56:E58,E62)</f>
        <v>0</v>
      </c>
    </row>
    <row r="64" spans="1:5" ht="12.75" customHeight="1" x14ac:dyDescent="0.2">
      <c r="A64" s="73" t="str">
        <f>Labels!B93</f>
        <v>Post Sales</v>
      </c>
      <c r="B64" s="74"/>
      <c r="C64" s="74"/>
      <c r="D64" s="74"/>
      <c r="E64" s="30"/>
    </row>
    <row r="65" spans="1:5" ht="12.75" customHeight="1" x14ac:dyDescent="0.2">
      <c r="A65" s="28" t="str">
        <f>"   "&amp;Labels!B103</f>
        <v xml:space="preserve">   Conv Note</v>
      </c>
      <c r="B65" s="70"/>
      <c r="C65" s="70"/>
      <c r="D65" s="70"/>
      <c r="E65" s="30"/>
    </row>
    <row r="66" spans="1:5" ht="12.75" customHeight="1" x14ac:dyDescent="0.2">
      <c r="A66" s="89" t="str">
        <f>"      "&amp;Labels!B104</f>
        <v xml:space="preserve">      Series B</v>
      </c>
      <c r="B66" s="91">
        <f t="shared" ref="B66:D67" si="0">B36+B51</f>
        <v>0</v>
      </c>
      <c r="C66" s="91">
        <f t="shared" si="0"/>
        <v>0</v>
      </c>
      <c r="D66" s="91">
        <f t="shared" si="0"/>
        <v>0</v>
      </c>
      <c r="E66" s="30">
        <f>SUM(B66:D66)</f>
        <v>0</v>
      </c>
    </row>
    <row r="67" spans="1:5" ht="12.75" customHeight="1" x14ac:dyDescent="0.2">
      <c r="A67" s="89" t="str">
        <f>"      "&amp;Labels!B105</f>
        <v xml:space="preserve">      Series A</v>
      </c>
      <c r="B67" s="91">
        <f t="shared" si="0"/>
        <v>0</v>
      </c>
      <c r="C67" s="91">
        <f t="shared" si="0"/>
        <v>0</v>
      </c>
      <c r="D67" s="91">
        <f t="shared" si="0"/>
        <v>0</v>
      </c>
      <c r="E67" s="30">
        <f>SUM(B67:D67)</f>
        <v>0</v>
      </c>
    </row>
    <row r="68" spans="1:5" ht="12.75" customHeight="1" x14ac:dyDescent="0.2">
      <c r="A68" s="28" t="str">
        <f>"      "&amp;Labels!C103</f>
        <v xml:space="preserve">      Subtotal</v>
      </c>
      <c r="B68" s="70">
        <f>SUM(B66:B67)</f>
        <v>0</v>
      </c>
      <c r="C68" s="70">
        <f>SUM(C66:C67)</f>
        <v>0</v>
      </c>
      <c r="D68" s="70">
        <f>SUM(D66:D67)</f>
        <v>0</v>
      </c>
      <c r="E68" s="30">
        <f>SUM(E66:E67)</f>
        <v>0</v>
      </c>
    </row>
    <row r="69" spans="1:5" ht="12.75" customHeight="1" x14ac:dyDescent="0.2">
      <c r="A69" s="28" t="str">
        <f>"   "&amp;Labels!B106</f>
        <v xml:space="preserve">   Preferred</v>
      </c>
      <c r="B69" s="70"/>
      <c r="C69" s="70"/>
      <c r="D69" s="70"/>
      <c r="E69" s="30"/>
    </row>
    <row r="70" spans="1:5" ht="12.75" customHeight="1" x14ac:dyDescent="0.2">
      <c r="A70" s="89" t="str">
        <f>"      "&amp;Labels!B107</f>
        <v xml:space="preserve">      Series A</v>
      </c>
      <c r="B70" s="91">
        <f>B40+B55</f>
        <v>0</v>
      </c>
      <c r="C70" s="91">
        <f>C40+C55</f>
        <v>0</v>
      </c>
      <c r="D70" s="91">
        <f>D40+D55</f>
        <v>0</v>
      </c>
      <c r="E70" s="30">
        <f>SUM(B70:D70)</f>
        <v>0</v>
      </c>
    </row>
    <row r="71" spans="1:5" ht="12.75" customHeight="1" x14ac:dyDescent="0.2">
      <c r="A71" s="28" t="str">
        <f>"      "&amp;Labels!C106</f>
        <v xml:space="preserve">      Subtotal</v>
      </c>
      <c r="B71" s="70">
        <f>B70</f>
        <v>0</v>
      </c>
      <c r="C71" s="70">
        <f>C70</f>
        <v>0</v>
      </c>
      <c r="D71" s="70">
        <f>D70</f>
        <v>0</v>
      </c>
      <c r="E71" s="30">
        <f>E70</f>
        <v>0</v>
      </c>
    </row>
    <row r="72" spans="1:5" ht="12.75" customHeight="1" x14ac:dyDescent="0.2">
      <c r="A72" s="28" t="str">
        <f>"   "&amp;Labels!B108</f>
        <v xml:space="preserve">   Common</v>
      </c>
      <c r="B72" s="70">
        <f>B42+B57</f>
        <v>0</v>
      </c>
      <c r="C72" s="70">
        <f>C42+C57</f>
        <v>0</v>
      </c>
      <c r="D72" s="70">
        <f>D42+D57</f>
        <v>0</v>
      </c>
      <c r="E72" s="30">
        <f>SUM(B72:D72)</f>
        <v>0</v>
      </c>
    </row>
    <row r="73" spans="1:5" ht="12.75" customHeight="1" x14ac:dyDescent="0.2">
      <c r="A73" s="28" t="str">
        <f>"   "&amp;Labels!B109</f>
        <v xml:space="preserve">   Warrant</v>
      </c>
      <c r="B73" s="70">
        <f>Options!B15</f>
        <v>0</v>
      </c>
      <c r="C73" s="70">
        <f>Options!C15</f>
        <v>0</v>
      </c>
      <c r="D73" s="70">
        <f>Options!D15</f>
        <v>0</v>
      </c>
      <c r="E73" s="30">
        <f>SUM(B73:D73)</f>
        <v>0</v>
      </c>
    </row>
    <row r="74" spans="1:5" ht="12.75" customHeight="1" x14ac:dyDescent="0.2">
      <c r="A74" s="28" t="str">
        <f>"   "&amp;Labels!B110</f>
        <v xml:space="preserve">   Option</v>
      </c>
      <c r="B74" s="70"/>
      <c r="C74" s="70"/>
      <c r="D74" s="70"/>
      <c r="E74" s="30"/>
    </row>
    <row r="75" spans="1:5" ht="12.75" customHeight="1" x14ac:dyDescent="0.2">
      <c r="A75" s="89" t="str">
        <f>"      "&amp;Labels!B111</f>
        <v xml:space="preserve">      Series B</v>
      </c>
      <c r="B75" s="91">
        <f>Options!B35</f>
        <v>0</v>
      </c>
      <c r="C75" s="91">
        <f>Options!C35</f>
        <v>0</v>
      </c>
      <c r="D75" s="91">
        <f>Options!D35</f>
        <v>0</v>
      </c>
      <c r="E75" s="30">
        <f>SUM(B75:D75)</f>
        <v>0</v>
      </c>
    </row>
    <row r="76" spans="1:5" ht="12.75" customHeight="1" x14ac:dyDescent="0.2">
      <c r="A76" s="89" t="str">
        <f>"      "&amp;Labels!B112</f>
        <v xml:space="preserve">      Series A</v>
      </c>
      <c r="B76" s="91">
        <f>Options!B36</f>
        <v>0</v>
      </c>
      <c r="C76" s="91">
        <f>Options!C36</f>
        <v>0</v>
      </c>
      <c r="D76" s="91">
        <f>Options!D36</f>
        <v>0</v>
      </c>
      <c r="E76" s="30">
        <f>SUM(B76:D76)</f>
        <v>0</v>
      </c>
    </row>
    <row r="77" spans="1:5" ht="12.75" customHeight="1" x14ac:dyDescent="0.2">
      <c r="A77" s="28" t="str">
        <f>"      "&amp;Labels!C110</f>
        <v xml:space="preserve">      Subtotal</v>
      </c>
      <c r="B77" s="70">
        <f>SUM(B75:B76)</f>
        <v>0</v>
      </c>
      <c r="C77" s="70">
        <f>SUM(C75:C76)</f>
        <v>0</v>
      </c>
      <c r="D77" s="70">
        <f>SUM(D75:D76)</f>
        <v>0</v>
      </c>
      <c r="E77" s="30">
        <f>SUM(E75:E76)</f>
        <v>0</v>
      </c>
    </row>
    <row r="78" spans="1:5" ht="12.75" customHeight="1" x14ac:dyDescent="0.2">
      <c r="A78" s="73" t="str">
        <f>"   "&amp;Labels!C102</f>
        <v xml:space="preserve">   Total</v>
      </c>
      <c r="B78" s="74">
        <f>SUM(B68,B71:B73,B77)</f>
        <v>0</v>
      </c>
      <c r="C78" s="74">
        <f>SUM(C68,C71:C73,C77)</f>
        <v>0</v>
      </c>
      <c r="D78" s="74">
        <f>SUM(D68,D71:D73,D77)</f>
        <v>0</v>
      </c>
      <c r="E78" s="30">
        <f>SUM(E68,E71:E73,E77)</f>
        <v>0</v>
      </c>
    </row>
    <row r="79" spans="1:5" ht="12.75" customHeight="1" x14ac:dyDescent="0.2">
      <c r="A79" s="73" t="str">
        <f>Labels!B94</f>
        <v>Convert</v>
      </c>
      <c r="B79" s="74"/>
      <c r="C79" s="74"/>
      <c r="D79" s="74"/>
      <c r="E79" s="30"/>
    </row>
    <row r="80" spans="1:5" ht="12.75" customHeight="1" x14ac:dyDescent="0.2">
      <c r="A80" s="28" t="str">
        <f>"   "&amp;Labels!B103</f>
        <v xml:space="preserve">   Conv Note</v>
      </c>
      <c r="B80" s="70"/>
      <c r="C80" s="70"/>
      <c r="D80" s="70"/>
      <c r="E80" s="30"/>
    </row>
    <row r="81" spans="1:5" ht="12.75" customHeight="1" x14ac:dyDescent="0.2">
      <c r="A81" s="89" t="str">
        <f>"      "&amp;Labels!B104</f>
        <v xml:space="preserve">      Series B</v>
      </c>
      <c r="B81" s="91">
        <f>Conversion!B28*B66</f>
        <v>0</v>
      </c>
      <c r="C81" s="91">
        <f>Conversion!C28*C66</f>
        <v>0</v>
      </c>
      <c r="D81" s="91">
        <f>Conversion!D28*D66</f>
        <v>0</v>
      </c>
      <c r="E81" s="30">
        <f>SUM(B81:D81)</f>
        <v>0</v>
      </c>
    </row>
    <row r="82" spans="1:5" ht="12.75" customHeight="1" x14ac:dyDescent="0.2">
      <c r="A82" s="89" t="str">
        <f>"      "&amp;Labels!B105</f>
        <v xml:space="preserve">      Series A</v>
      </c>
      <c r="B82" s="91">
        <f>Conversion!B29*B67</f>
        <v>0</v>
      </c>
      <c r="C82" s="91">
        <f>Conversion!C29*C67</f>
        <v>0</v>
      </c>
      <c r="D82" s="91">
        <f>Conversion!D29*D67</f>
        <v>0</v>
      </c>
      <c r="E82" s="30">
        <f>SUM(B82:D82)</f>
        <v>0</v>
      </c>
    </row>
    <row r="83" spans="1:5" ht="12.75" customHeight="1" x14ac:dyDescent="0.2">
      <c r="A83" s="28" t="str">
        <f>"      "&amp;Labels!C103</f>
        <v xml:space="preserve">      Subtotal</v>
      </c>
      <c r="B83" s="70">
        <f>SUM(B81:B82)</f>
        <v>0</v>
      </c>
      <c r="C83" s="70">
        <f>SUM(C81:C82)</f>
        <v>0</v>
      </c>
      <c r="D83" s="70">
        <f>SUM(D81:D82)</f>
        <v>0</v>
      </c>
      <c r="E83" s="30">
        <f>SUM(E81:E82)</f>
        <v>0</v>
      </c>
    </row>
    <row r="84" spans="1:5" ht="12.75" customHeight="1" x14ac:dyDescent="0.2">
      <c r="A84" s="28" t="str">
        <f>"   "&amp;Labels!B106</f>
        <v xml:space="preserve">   Preferred</v>
      </c>
      <c r="B84" s="70"/>
      <c r="C84" s="70"/>
      <c r="D84" s="70"/>
      <c r="E84" s="30"/>
    </row>
    <row r="85" spans="1:5" ht="12.75" customHeight="1" x14ac:dyDescent="0.2">
      <c r="A85" s="89" t="str">
        <f>"      "&amp;Labels!B107</f>
        <v xml:space="preserve">      Series A</v>
      </c>
      <c r="B85" s="91">
        <f>Conversion!B31*B70</f>
        <v>0</v>
      </c>
      <c r="C85" s="91">
        <f>Conversion!C31*C70</f>
        <v>0</v>
      </c>
      <c r="D85" s="91">
        <f>Conversion!D31*D70</f>
        <v>0</v>
      </c>
      <c r="E85" s="30">
        <f>SUM(B85:D85)</f>
        <v>0</v>
      </c>
    </row>
    <row r="86" spans="1:5" ht="12.75" customHeight="1" x14ac:dyDescent="0.2">
      <c r="A86" s="28" t="str">
        <f>"      "&amp;Labels!C106</f>
        <v xml:space="preserve">      Subtotal</v>
      </c>
      <c r="B86" s="70">
        <f>B85</f>
        <v>0</v>
      </c>
      <c r="C86" s="70">
        <f>C85</f>
        <v>0</v>
      </c>
      <c r="D86" s="70">
        <f>D85</f>
        <v>0</v>
      </c>
      <c r="E86" s="30">
        <f>E85</f>
        <v>0</v>
      </c>
    </row>
    <row r="87" spans="1:5" ht="12.75" customHeight="1" x14ac:dyDescent="0.2">
      <c r="A87" s="28" t="str">
        <f>"   "&amp;Labels!B108</f>
        <v xml:space="preserve">   Common</v>
      </c>
      <c r="B87" s="70">
        <f>Conversion!B32*B72</f>
        <v>0</v>
      </c>
      <c r="C87" s="70">
        <f>Conversion!C32*C72</f>
        <v>0</v>
      </c>
      <c r="D87" s="70">
        <f>Conversion!D32*D72</f>
        <v>0</v>
      </c>
      <c r="E87" s="30">
        <f>SUM(B87:D87)</f>
        <v>0</v>
      </c>
    </row>
    <row r="88" spans="1:5" ht="12.75" customHeight="1" x14ac:dyDescent="0.2">
      <c r="A88" s="28" t="str">
        <f>"   "&amp;Labels!B109</f>
        <v xml:space="preserve">   Warrant</v>
      </c>
      <c r="B88" s="70">
        <f>Options!B16</f>
        <v>0</v>
      </c>
      <c r="C88" s="70">
        <f>Options!C16</f>
        <v>0</v>
      </c>
      <c r="D88" s="70">
        <f>Options!D16</f>
        <v>0</v>
      </c>
      <c r="E88" s="30">
        <f>SUM(B88:D88)</f>
        <v>0</v>
      </c>
    </row>
    <row r="89" spans="1:5" ht="12.75" customHeight="1" x14ac:dyDescent="0.2">
      <c r="A89" s="28" t="str">
        <f>"   "&amp;Labels!B110</f>
        <v xml:space="preserve">   Option</v>
      </c>
      <c r="B89" s="70"/>
      <c r="C89" s="70"/>
      <c r="D89" s="70"/>
      <c r="E89" s="30"/>
    </row>
    <row r="90" spans="1:5" ht="12.75" customHeight="1" x14ac:dyDescent="0.2">
      <c r="A90" s="89" t="str">
        <f>"      "&amp;Labels!B111</f>
        <v xml:space="preserve">      Series B</v>
      </c>
      <c r="B90" s="91">
        <f>Options!B39</f>
        <v>0</v>
      </c>
      <c r="C90" s="91">
        <f>Options!C39</f>
        <v>0</v>
      </c>
      <c r="D90" s="91">
        <f>Options!D39</f>
        <v>0</v>
      </c>
      <c r="E90" s="30">
        <f>SUM(B90:D90)</f>
        <v>0</v>
      </c>
    </row>
    <row r="91" spans="1:5" ht="12.75" customHeight="1" x14ac:dyDescent="0.2">
      <c r="A91" s="89" t="str">
        <f>"      "&amp;Labels!B112</f>
        <v xml:space="preserve">      Series A</v>
      </c>
      <c r="B91" s="91">
        <f>Options!B40</f>
        <v>0</v>
      </c>
      <c r="C91" s="91">
        <f>Options!C40</f>
        <v>0</v>
      </c>
      <c r="D91" s="91">
        <f>Options!D40</f>
        <v>0</v>
      </c>
      <c r="E91" s="30">
        <f>SUM(B91:D91)</f>
        <v>0</v>
      </c>
    </row>
    <row r="92" spans="1:5" ht="12.75" customHeight="1" x14ac:dyDescent="0.2">
      <c r="A92" s="28" t="str">
        <f>"      "&amp;Labels!C110</f>
        <v xml:space="preserve">      Subtotal</v>
      </c>
      <c r="B92" s="70">
        <f>SUM(B90:B91)</f>
        <v>0</v>
      </c>
      <c r="C92" s="70">
        <f>SUM(C90:C91)</f>
        <v>0</v>
      </c>
      <c r="D92" s="70">
        <f>SUM(D90:D91)</f>
        <v>0</v>
      </c>
      <c r="E92" s="30">
        <f>SUM(E90:E91)</f>
        <v>0</v>
      </c>
    </row>
    <row r="93" spans="1:5" ht="12.75" customHeight="1" x14ac:dyDescent="0.2">
      <c r="A93" s="73" t="str">
        <f>"   "&amp;Labels!C102</f>
        <v xml:space="preserve">   Total</v>
      </c>
      <c r="B93" s="74">
        <f>SUM(B83,B86:B88,B92)</f>
        <v>0</v>
      </c>
      <c r="C93" s="74">
        <f>SUM(C83,C86:C88,C92)</f>
        <v>0</v>
      </c>
      <c r="D93" s="74">
        <f>SUM(D83,D86:D88,D92)</f>
        <v>0</v>
      </c>
      <c r="E93" s="30">
        <f>SUM(E83,E86:E88,E92)</f>
        <v>0</v>
      </c>
    </row>
    <row r="94" spans="1:5" ht="12.75" customHeight="1" x14ac:dyDescent="0.2">
      <c r="A94" s="73" t="str">
        <f>Labels!B95</f>
        <v>End</v>
      </c>
      <c r="B94" s="74"/>
      <c r="C94" s="74"/>
      <c r="D94" s="74"/>
      <c r="E94" s="30"/>
    </row>
    <row r="95" spans="1:5" ht="12.75" customHeight="1" x14ac:dyDescent="0.2">
      <c r="A95" s="28" t="str">
        <f>"   "&amp;Labels!B103</f>
        <v xml:space="preserve">   Conv Note</v>
      </c>
      <c r="B95" s="70"/>
      <c r="C95" s="70"/>
      <c r="D95" s="70"/>
      <c r="E95" s="30"/>
    </row>
    <row r="96" spans="1:5" ht="12.75" customHeight="1" x14ac:dyDescent="0.2">
      <c r="A96" s="89" t="str">
        <f>"      "&amp;Labels!B104</f>
        <v xml:space="preserve">      Series B</v>
      </c>
      <c r="B96" s="91">
        <f t="shared" ref="B96:D97" si="1">B66-B81</f>
        <v>0</v>
      </c>
      <c r="C96" s="91">
        <f t="shared" si="1"/>
        <v>0</v>
      </c>
      <c r="D96" s="91">
        <f t="shared" si="1"/>
        <v>0</v>
      </c>
      <c r="E96" s="30">
        <f>SUM(B96:D96)</f>
        <v>0</v>
      </c>
    </row>
    <row r="97" spans="1:5" ht="12.75" customHeight="1" x14ac:dyDescent="0.2">
      <c r="A97" s="89" t="str">
        <f>"      "&amp;Labels!B105</f>
        <v xml:space="preserve">      Series A</v>
      </c>
      <c r="B97" s="91">
        <f t="shared" si="1"/>
        <v>0</v>
      </c>
      <c r="C97" s="91">
        <f t="shared" si="1"/>
        <v>0</v>
      </c>
      <c r="D97" s="91">
        <f t="shared" si="1"/>
        <v>0</v>
      </c>
      <c r="E97" s="30">
        <f>SUM(B97:D97)</f>
        <v>0</v>
      </c>
    </row>
    <row r="98" spans="1:5" ht="12.75" customHeight="1" x14ac:dyDescent="0.2">
      <c r="A98" s="28" t="str">
        <f>"      "&amp;Labels!C103</f>
        <v xml:space="preserve">      Subtotal</v>
      </c>
      <c r="B98" s="70">
        <f>SUM(B96:B97)</f>
        <v>0</v>
      </c>
      <c r="C98" s="70">
        <f>SUM(C96:C97)</f>
        <v>0</v>
      </c>
      <c r="D98" s="70">
        <f>SUM(D96:D97)</f>
        <v>0</v>
      </c>
      <c r="E98" s="30">
        <f>SUM(E96:E97)</f>
        <v>0</v>
      </c>
    </row>
    <row r="99" spans="1:5" ht="12.75" customHeight="1" x14ac:dyDescent="0.2">
      <c r="A99" s="28" t="str">
        <f>"   "&amp;Labels!B106</f>
        <v xml:space="preserve">   Preferred</v>
      </c>
      <c r="B99" s="70"/>
      <c r="C99" s="70"/>
      <c r="D99" s="70"/>
      <c r="E99" s="30"/>
    </row>
    <row r="100" spans="1:5" ht="12.75" customHeight="1" x14ac:dyDescent="0.2">
      <c r="A100" s="89" t="str">
        <f>"      "&amp;Labels!B107</f>
        <v xml:space="preserve">      Series A</v>
      </c>
      <c r="B100" s="91">
        <f>B70-B85</f>
        <v>0</v>
      </c>
      <c r="C100" s="91">
        <f>C70-C85</f>
        <v>0</v>
      </c>
      <c r="D100" s="91">
        <f>D70-D85</f>
        <v>0</v>
      </c>
      <c r="E100" s="30">
        <f>SUM(B100:D100)</f>
        <v>0</v>
      </c>
    </row>
    <row r="101" spans="1:5" ht="12.75" customHeight="1" x14ac:dyDescent="0.2">
      <c r="A101" s="28" t="str">
        <f>"      "&amp;Labels!C106</f>
        <v xml:space="preserve">      Subtotal</v>
      </c>
      <c r="B101" s="70">
        <f>B100</f>
        <v>0</v>
      </c>
      <c r="C101" s="70">
        <f>C100</f>
        <v>0</v>
      </c>
      <c r="D101" s="70">
        <f>D100</f>
        <v>0</v>
      </c>
      <c r="E101" s="30">
        <f>E100</f>
        <v>0</v>
      </c>
    </row>
    <row r="102" spans="1:5" ht="12.75" customHeight="1" x14ac:dyDescent="0.2">
      <c r="A102" s="28" t="str">
        <f>"   "&amp;Labels!B108</f>
        <v xml:space="preserve">   Common</v>
      </c>
      <c r="B102" s="70">
        <f>B72-B87</f>
        <v>0</v>
      </c>
      <c r="C102" s="70">
        <f>C72-C87</f>
        <v>0</v>
      </c>
      <c r="D102" s="70">
        <f>D72-D87</f>
        <v>0</v>
      </c>
      <c r="E102" s="30">
        <f>SUM(B102:D102)</f>
        <v>0</v>
      </c>
    </row>
    <row r="103" spans="1:5" ht="12.75" customHeight="1" x14ac:dyDescent="0.2">
      <c r="A103" s="28" t="str">
        <f>"   "&amp;Labels!B109</f>
        <v xml:space="preserve">   Warrant</v>
      </c>
      <c r="B103" s="70">
        <f>Options!B17</f>
        <v>0</v>
      </c>
      <c r="C103" s="70">
        <f>Options!C17</f>
        <v>0</v>
      </c>
      <c r="D103" s="70">
        <f>Options!D17</f>
        <v>0</v>
      </c>
      <c r="E103" s="30">
        <f>SUM(B103:D103)</f>
        <v>0</v>
      </c>
    </row>
    <row r="104" spans="1:5" ht="12.75" customHeight="1" x14ac:dyDescent="0.2">
      <c r="A104" s="28" t="str">
        <f>"   "&amp;Labels!B110</f>
        <v xml:space="preserve">   Option</v>
      </c>
      <c r="B104" s="70"/>
      <c r="C104" s="70"/>
      <c r="D104" s="70"/>
      <c r="E104" s="30"/>
    </row>
    <row r="105" spans="1:5" ht="12.75" customHeight="1" x14ac:dyDescent="0.2">
      <c r="A105" s="89" t="str">
        <f>"      "&amp;Labels!B111</f>
        <v xml:space="preserve">      Series B</v>
      </c>
      <c r="B105" s="91">
        <f>Options!B43</f>
        <v>0</v>
      </c>
      <c r="C105" s="91">
        <f>Options!C43</f>
        <v>0</v>
      </c>
      <c r="D105" s="91">
        <f>Options!D43</f>
        <v>0</v>
      </c>
      <c r="E105" s="30">
        <f>SUM(B105:D105)</f>
        <v>0</v>
      </c>
    </row>
    <row r="106" spans="1:5" ht="12.75" customHeight="1" x14ac:dyDescent="0.2">
      <c r="A106" s="89" t="str">
        <f>"      "&amp;Labels!B112</f>
        <v xml:space="preserve">      Series A</v>
      </c>
      <c r="B106" s="91">
        <f>Options!B44</f>
        <v>0</v>
      </c>
      <c r="C106" s="91">
        <f>Options!C44</f>
        <v>0</v>
      </c>
      <c r="D106" s="91">
        <f>Options!D44</f>
        <v>0</v>
      </c>
      <c r="E106" s="30">
        <f>SUM(B106:D106)</f>
        <v>0</v>
      </c>
    </row>
    <row r="107" spans="1:5" ht="12.75" customHeight="1" x14ac:dyDescent="0.2">
      <c r="A107" s="28" t="str">
        <f>"      "&amp;Labels!C110</f>
        <v xml:space="preserve">      Subtotal</v>
      </c>
      <c r="B107" s="70">
        <f>SUM(B105:B106)</f>
        <v>0</v>
      </c>
      <c r="C107" s="70">
        <f>SUM(C105:C106)</f>
        <v>0</v>
      </c>
      <c r="D107" s="70">
        <f>SUM(D105:D106)</f>
        <v>0</v>
      </c>
      <c r="E107" s="30">
        <f>SUM(E105:E106)</f>
        <v>0</v>
      </c>
    </row>
    <row r="108" spans="1:5" ht="12.75" customHeight="1" x14ac:dyDescent="0.2">
      <c r="A108" s="15" t="str">
        <f>"   "&amp;Labels!C102</f>
        <v xml:space="preserve">   Total</v>
      </c>
      <c r="B108" s="31">
        <f>SUM(B98,B101:B103,B107)</f>
        <v>0</v>
      </c>
      <c r="C108" s="31">
        <f>SUM(C98,C101:C103,C107)</f>
        <v>0</v>
      </c>
      <c r="D108" s="31">
        <f>SUM(D98,D101:D103,D107)</f>
        <v>0</v>
      </c>
      <c r="E108" s="32">
        <f>SUM(E98,E101:E103,E107)</f>
        <v>0</v>
      </c>
    </row>
    <row r="109" spans="1:5" ht="12.75" customHeight="1" x14ac:dyDescent="0.2">
      <c r="A109" s="1" t="str">
        <f>Labels!B79</f>
        <v>New Units Sold</v>
      </c>
    </row>
    <row r="110" spans="1:5" ht="12.75" customHeight="1" x14ac:dyDescent="0.2">
      <c r="B110" s="6" t="str">
        <f>Labels!B98</f>
        <v>Seed</v>
      </c>
      <c r="C110" s="7" t="str">
        <f>Labels!B99</f>
        <v>Round A</v>
      </c>
      <c r="D110" s="7" t="str">
        <f>Labels!B100</f>
        <v>Exit</v>
      </c>
      <c r="E110" s="25" t="str">
        <f>Labels!C97</f>
        <v>Total</v>
      </c>
    </row>
    <row r="111" spans="1:5" ht="12.75" customHeight="1" x14ac:dyDescent="0.2">
      <c r="A111" s="11" t="str">
        <f>Labels!B103</f>
        <v>Conv Note</v>
      </c>
      <c r="B111" s="60"/>
      <c r="C111" s="60"/>
      <c r="D111" s="60"/>
      <c r="E111" s="61"/>
    </row>
    <row r="112" spans="1:5" ht="12.75" customHeight="1" x14ac:dyDescent="0.2">
      <c r="A112" s="28" t="str">
        <f>"   "&amp;Labels!B104</f>
        <v xml:space="preserve">   Series B</v>
      </c>
      <c r="B112" s="97">
        <f>Boneyard!B63</f>
        <v>0</v>
      </c>
      <c r="C112" s="97">
        <f>Boneyard!C63</f>
        <v>0</v>
      </c>
      <c r="D112" s="97">
        <f>Boneyard!D63</f>
        <v>0</v>
      </c>
      <c r="E112" s="63">
        <f>SUM(B112:D112)</f>
        <v>0</v>
      </c>
    </row>
    <row r="113" spans="1:5" ht="12.75" customHeight="1" x14ac:dyDescent="0.2">
      <c r="A113" s="28" t="str">
        <f>"   "&amp;Labels!B105</f>
        <v xml:space="preserve">   Series A</v>
      </c>
      <c r="B113" s="97">
        <f>Boneyard!B64</f>
        <v>0</v>
      </c>
      <c r="C113" s="97">
        <f>Boneyard!C64</f>
        <v>0</v>
      </c>
      <c r="D113" s="97">
        <f>Boneyard!D64</f>
        <v>0</v>
      </c>
      <c r="E113" s="63">
        <f>SUM(B113:D113)</f>
        <v>0</v>
      </c>
    </row>
    <row r="114" spans="1:5" ht="12.75" customHeight="1" x14ac:dyDescent="0.2">
      <c r="A114" s="73" t="str">
        <f>"   "&amp;Labels!C103</f>
        <v xml:space="preserve">   Subtotal</v>
      </c>
      <c r="B114" s="138">
        <f>SUM(B112:B113)</f>
        <v>0</v>
      </c>
      <c r="C114" s="138">
        <f>SUM(C112:C113)</f>
        <v>0</v>
      </c>
      <c r="D114" s="138">
        <f>SUM(D112:D113)</f>
        <v>0</v>
      </c>
      <c r="E114" s="63">
        <f>SUM(B114:D114)</f>
        <v>0</v>
      </c>
    </row>
    <row r="115" spans="1:5" ht="12.75" customHeight="1" x14ac:dyDescent="0.2">
      <c r="A115" s="73" t="str">
        <f>Labels!B106</f>
        <v>Preferred</v>
      </c>
      <c r="B115" s="138"/>
      <c r="C115" s="138"/>
      <c r="D115" s="138"/>
      <c r="E115" s="63"/>
    </row>
    <row r="116" spans="1:5" ht="12.75" customHeight="1" x14ac:dyDescent="0.2">
      <c r="A116" s="28" t="str">
        <f>"   "&amp;Labels!B107</f>
        <v xml:space="preserve">   Series A</v>
      </c>
      <c r="B116" s="97">
        <f>Boneyard!B67</f>
        <v>0</v>
      </c>
      <c r="C116" s="97">
        <f>Boneyard!C67</f>
        <v>0</v>
      </c>
      <c r="D116" s="97">
        <f>Boneyard!D67</f>
        <v>0</v>
      </c>
      <c r="E116" s="63">
        <f>SUM(B116:D116)</f>
        <v>0</v>
      </c>
    </row>
    <row r="117" spans="1:5" ht="12.75" customHeight="1" x14ac:dyDescent="0.2">
      <c r="A117" s="73" t="str">
        <f>"   "&amp;Labels!C106</f>
        <v xml:space="preserve">   Subtotal</v>
      </c>
      <c r="B117" s="138">
        <f>B116</f>
        <v>0</v>
      </c>
      <c r="C117" s="138">
        <f>C116</f>
        <v>0</v>
      </c>
      <c r="D117" s="138">
        <f>D116</f>
        <v>0</v>
      </c>
      <c r="E117" s="63">
        <f>SUM(B117:D117)</f>
        <v>0</v>
      </c>
    </row>
    <row r="118" spans="1:5" ht="12.75" customHeight="1" x14ac:dyDescent="0.2">
      <c r="A118" s="73" t="str">
        <f>Labels!B108</f>
        <v>Common</v>
      </c>
      <c r="B118" s="138">
        <f>Boneyard!B69</f>
        <v>0</v>
      </c>
      <c r="C118" s="138">
        <f>Boneyard!C69</f>
        <v>0</v>
      </c>
      <c r="D118" s="138">
        <f>Boneyard!D69</f>
        <v>0</v>
      </c>
      <c r="E118" s="63">
        <f>SUM(B118:D118)</f>
        <v>0</v>
      </c>
    </row>
    <row r="119" spans="1:5" ht="12.75" customHeight="1" x14ac:dyDescent="0.2">
      <c r="A119" s="73" t="str">
        <f>Labels!B109</f>
        <v>Warrant</v>
      </c>
      <c r="B119" s="138">
        <f>Boneyard!B70</f>
        <v>0</v>
      </c>
      <c r="C119" s="138">
        <f>Boneyard!C70</f>
        <v>0</v>
      </c>
      <c r="D119" s="138">
        <f>Boneyard!D70</f>
        <v>0</v>
      </c>
      <c r="E119" s="63">
        <f>SUM(B119:D119)</f>
        <v>0</v>
      </c>
    </row>
    <row r="120" spans="1:5" ht="12.75" customHeight="1" x14ac:dyDescent="0.2">
      <c r="A120" s="73" t="str">
        <f>Labels!B110</f>
        <v>Option</v>
      </c>
      <c r="B120" s="138"/>
      <c r="C120" s="138"/>
      <c r="D120" s="138"/>
      <c r="E120" s="63"/>
    </row>
    <row r="121" spans="1:5" ht="12.75" customHeight="1" x14ac:dyDescent="0.2">
      <c r="A121" s="28" t="str">
        <f>"   "&amp;Labels!B111</f>
        <v xml:space="preserve">   Series B</v>
      </c>
      <c r="B121" s="97">
        <f>Inputs!B112</f>
        <v>0</v>
      </c>
      <c r="C121" s="97">
        <f>Inputs!C112</f>
        <v>0</v>
      </c>
      <c r="D121" s="97">
        <f>Inputs!D112</f>
        <v>0</v>
      </c>
      <c r="E121" s="63">
        <f>SUM(B121:D121)</f>
        <v>0</v>
      </c>
    </row>
    <row r="122" spans="1:5" ht="12.75" customHeight="1" x14ac:dyDescent="0.2">
      <c r="A122" s="28" t="str">
        <f>"   "&amp;Labels!B112</f>
        <v xml:space="preserve">   Series A</v>
      </c>
      <c r="B122" s="97">
        <f>Inputs!B113</f>
        <v>0</v>
      </c>
      <c r="C122" s="97">
        <f>Inputs!C113</f>
        <v>0</v>
      </c>
      <c r="D122" s="97">
        <f>Inputs!D113</f>
        <v>0</v>
      </c>
      <c r="E122" s="63">
        <f>SUM(B122:D122)</f>
        <v>0</v>
      </c>
    </row>
    <row r="123" spans="1:5" ht="12.75" customHeight="1" x14ac:dyDescent="0.2">
      <c r="A123" s="73" t="str">
        <f>"   "&amp;Labels!C110</f>
        <v xml:space="preserve">   Subtotal</v>
      </c>
      <c r="B123" s="138">
        <f>SUM(B121:B122)</f>
        <v>0</v>
      </c>
      <c r="C123" s="138">
        <f>SUM(C121:C122)</f>
        <v>0</v>
      </c>
      <c r="D123" s="138">
        <f>SUM(D121:D122)</f>
        <v>0</v>
      </c>
      <c r="E123" s="63">
        <f>SUM(B123:D123)</f>
        <v>0</v>
      </c>
    </row>
    <row r="124" spans="1:5" ht="12.75" customHeight="1" x14ac:dyDescent="0.2">
      <c r="A124" s="4" t="str">
        <f>Labels!C102</f>
        <v>Total</v>
      </c>
      <c r="B124" s="200">
        <f>SUM(B114,B117:B119,B123)</f>
        <v>0</v>
      </c>
      <c r="C124" s="200">
        <f>SUM(C114,C117:C119,C123)</f>
        <v>0</v>
      </c>
      <c r="D124" s="200">
        <f>SUM(D114,D117:D119,D123)</f>
        <v>0</v>
      </c>
      <c r="E124" s="201">
        <f>SUM(B124:D124)</f>
        <v>0</v>
      </c>
    </row>
    <row r="125" spans="1:5" ht="12.75" customHeight="1" x14ac:dyDescent="0.2">
      <c r="A125" s="1" t="str">
        <f>Labels!B7</f>
        <v>Conversion Decisions Detail</v>
      </c>
    </row>
    <row r="126" spans="1:5" ht="12.75" customHeight="1" x14ac:dyDescent="0.2">
      <c r="B126" s="6" t="str">
        <f>Labels!B98</f>
        <v>Seed</v>
      </c>
      <c r="C126" s="7" t="str">
        <f>Labels!B99</f>
        <v>Round A</v>
      </c>
      <c r="D126" s="8" t="str">
        <f>Labels!B100</f>
        <v>Exit</v>
      </c>
    </row>
    <row r="127" spans="1:5" ht="12.75" customHeight="1" x14ac:dyDescent="0.2">
      <c r="A127" s="11" t="str">
        <f>Labels!B103</f>
        <v>Conv Note</v>
      </c>
      <c r="B127" s="114"/>
      <c r="C127" s="114"/>
      <c r="D127" s="115"/>
    </row>
    <row r="128" spans="1:5" ht="12.75" customHeight="1" x14ac:dyDescent="0.2">
      <c r="A128" s="28" t="str">
        <f>"   "&amp;Labels!B104</f>
        <v xml:space="preserve">   Series B</v>
      </c>
      <c r="B128" s="116"/>
      <c r="C128" s="116"/>
      <c r="D128" s="117"/>
    </row>
    <row r="129" spans="1:4" ht="12.75" customHeight="1" x14ac:dyDescent="0.2">
      <c r="A129" s="89" t="str">
        <f>"      "&amp;Labels!B84</f>
        <v xml:space="preserve">      Trigger Date</v>
      </c>
      <c r="B129" s="122">
        <f>Conversion!B61</f>
        <v>0</v>
      </c>
      <c r="C129" s="122">
        <f>Conversion!C61</f>
        <v>1</v>
      </c>
      <c r="D129" s="123">
        <f>Conversion!D61</f>
        <v>1</v>
      </c>
    </row>
    <row r="130" spans="1:4" ht="12.75" customHeight="1" x14ac:dyDescent="0.2">
      <c r="A130" s="89" t="str">
        <f>"      "&amp;Labels!B85</f>
        <v xml:space="preserve">      Trigger Invest</v>
      </c>
      <c r="B130" s="122">
        <f>Conversion!B62</f>
        <v>0</v>
      </c>
      <c r="C130" s="122">
        <f>Conversion!C62</f>
        <v>0</v>
      </c>
      <c r="D130" s="123">
        <f>Conversion!D62</f>
        <v>0</v>
      </c>
    </row>
    <row r="131" spans="1:4" ht="12.75" customHeight="1" x14ac:dyDescent="0.2">
      <c r="A131" s="89" t="str">
        <f>"      "&amp;Labels!B86</f>
        <v xml:space="preserve">      Trigger Value %</v>
      </c>
      <c r="B131" s="122">
        <f>Conversion!B63</f>
        <v>1</v>
      </c>
      <c r="C131" s="122">
        <f>Conversion!C63</f>
        <v>1</v>
      </c>
      <c r="D131" s="123">
        <f>Conversion!D63</f>
        <v>1</v>
      </c>
    </row>
    <row r="132" spans="1:4" ht="12.75" customHeight="1" x14ac:dyDescent="0.2">
      <c r="A132" s="89" t="str">
        <f>"      "&amp;Labels!B87</f>
        <v xml:space="preserve">      Liquidation</v>
      </c>
      <c r="B132" s="122">
        <f>Conversion!B64</f>
        <v>0</v>
      </c>
      <c r="C132" s="122">
        <f>Conversion!C64</f>
        <v>0</v>
      </c>
      <c r="D132" s="123">
        <f>Conversion!D64</f>
        <v>0</v>
      </c>
    </row>
    <row r="133" spans="1:4" ht="12.75" customHeight="1" x14ac:dyDescent="0.2">
      <c r="A133" s="89" t="str">
        <f>"      "&amp;Labels!B88</f>
        <v xml:space="preserve">      Trigger Price</v>
      </c>
      <c r="B133" s="122">
        <f>Conversion!B65</f>
        <v>-1</v>
      </c>
      <c r="C133" s="122">
        <f>Conversion!C65</f>
        <v>-1</v>
      </c>
      <c r="D133" s="123">
        <f>Conversion!D65</f>
        <v>-1</v>
      </c>
    </row>
    <row r="134" spans="1:4" ht="12.75" customHeight="1" x14ac:dyDescent="0.2">
      <c r="A134" s="28" t="str">
        <f>"   "&amp;Labels!B105</f>
        <v xml:space="preserve">   Series A</v>
      </c>
      <c r="B134" s="116"/>
      <c r="C134" s="116"/>
      <c r="D134" s="117"/>
    </row>
    <row r="135" spans="1:4" ht="12.75" customHeight="1" x14ac:dyDescent="0.2">
      <c r="A135" s="89" t="str">
        <f>"      "&amp;Labels!B84</f>
        <v xml:space="preserve">      Trigger Date</v>
      </c>
      <c r="B135" s="122">
        <f>Conversion!B67</f>
        <v>0</v>
      </c>
      <c r="C135" s="122">
        <f>Conversion!C67</f>
        <v>1</v>
      </c>
      <c r="D135" s="123">
        <f>Conversion!D67</f>
        <v>1</v>
      </c>
    </row>
    <row r="136" spans="1:4" ht="12.75" customHeight="1" x14ac:dyDescent="0.2">
      <c r="A136" s="89" t="str">
        <f>"      "&amp;Labels!B85</f>
        <v xml:space="preserve">      Trigger Invest</v>
      </c>
      <c r="B136" s="122">
        <f>Conversion!B68</f>
        <v>0</v>
      </c>
      <c r="C136" s="122">
        <f>Conversion!C68</f>
        <v>0</v>
      </c>
      <c r="D136" s="123">
        <f>Conversion!D68</f>
        <v>0</v>
      </c>
    </row>
    <row r="137" spans="1:4" ht="12.75" customHeight="1" x14ac:dyDescent="0.2">
      <c r="A137" s="89" t="str">
        <f>"      "&amp;Labels!B86</f>
        <v xml:space="preserve">      Trigger Value %</v>
      </c>
      <c r="B137" s="122">
        <f>Conversion!B69</f>
        <v>1</v>
      </c>
      <c r="C137" s="122">
        <f>Conversion!C69</f>
        <v>1</v>
      </c>
      <c r="D137" s="123">
        <f>Conversion!D69</f>
        <v>1</v>
      </c>
    </row>
    <row r="138" spans="1:4" ht="12.75" customHeight="1" x14ac:dyDescent="0.2">
      <c r="A138" s="89" t="str">
        <f>"      "&amp;Labels!B87</f>
        <v xml:space="preserve">      Liquidation</v>
      </c>
      <c r="B138" s="122">
        <f>Conversion!B70</f>
        <v>0</v>
      </c>
      <c r="C138" s="122">
        <f>Conversion!C70</f>
        <v>0</v>
      </c>
      <c r="D138" s="123">
        <f>Conversion!D70</f>
        <v>0</v>
      </c>
    </row>
    <row r="139" spans="1:4" ht="12.75" customHeight="1" x14ac:dyDescent="0.2">
      <c r="A139" s="89" t="str">
        <f>"      "&amp;Labels!B88</f>
        <v xml:space="preserve">      Trigger Price</v>
      </c>
      <c r="B139" s="122">
        <f>Conversion!B71</f>
        <v>-1</v>
      </c>
      <c r="C139" s="122">
        <f>Conversion!C71</f>
        <v>-1</v>
      </c>
      <c r="D139" s="123">
        <f>Conversion!D71</f>
        <v>-1</v>
      </c>
    </row>
    <row r="140" spans="1:4" ht="12.75" customHeight="1" x14ac:dyDescent="0.2">
      <c r="A140" s="73" t="str">
        <f>Labels!B106</f>
        <v>Preferred</v>
      </c>
      <c r="B140" s="202"/>
      <c r="C140" s="202"/>
      <c r="D140" s="203"/>
    </row>
    <row r="141" spans="1:4" ht="12.75" customHeight="1" x14ac:dyDescent="0.2">
      <c r="A141" s="28" t="str">
        <f>"   "&amp;Labels!B107</f>
        <v xml:space="preserve">   Series A</v>
      </c>
      <c r="B141" s="116"/>
      <c r="C141" s="116"/>
      <c r="D141" s="117"/>
    </row>
    <row r="142" spans="1:4" ht="12.75" customHeight="1" x14ac:dyDescent="0.2">
      <c r="A142" s="89" t="str">
        <f>"      "&amp;Labels!B84</f>
        <v xml:space="preserve">      Trigger Date</v>
      </c>
      <c r="B142" s="122">
        <f>Conversion!B74</f>
        <v>0</v>
      </c>
      <c r="C142" s="122">
        <f>Conversion!C74</f>
        <v>1</v>
      </c>
      <c r="D142" s="123">
        <f>Conversion!D74</f>
        <v>1</v>
      </c>
    </row>
    <row r="143" spans="1:4" ht="12.75" customHeight="1" x14ac:dyDescent="0.2">
      <c r="A143" s="89" t="str">
        <f>"      "&amp;Labels!B85</f>
        <v xml:space="preserve">      Trigger Invest</v>
      </c>
      <c r="B143" s="122">
        <f>Conversion!B75</f>
        <v>0</v>
      </c>
      <c r="C143" s="122">
        <f>Conversion!C75</f>
        <v>0</v>
      </c>
      <c r="D143" s="123">
        <f>Conversion!D75</f>
        <v>0</v>
      </c>
    </row>
    <row r="144" spans="1:4" ht="12.75" customHeight="1" x14ac:dyDescent="0.2">
      <c r="A144" s="89" t="str">
        <f>"      "&amp;Labels!B86</f>
        <v xml:space="preserve">      Trigger Value %</v>
      </c>
      <c r="B144" s="122">
        <f>Conversion!B76</f>
        <v>1</v>
      </c>
      <c r="C144" s="122">
        <f>Conversion!C76</f>
        <v>1</v>
      </c>
      <c r="D144" s="123">
        <f>Conversion!D76</f>
        <v>1</v>
      </c>
    </row>
    <row r="145" spans="1:4" ht="12.75" customHeight="1" x14ac:dyDescent="0.2">
      <c r="A145" s="89" t="str">
        <f>"      "&amp;Labels!B87</f>
        <v xml:space="preserve">      Liquidation</v>
      </c>
      <c r="B145" s="122">
        <f>Conversion!B77</f>
        <v>0</v>
      </c>
      <c r="C145" s="122">
        <f>Conversion!C77</f>
        <v>0</v>
      </c>
      <c r="D145" s="123">
        <f>Conversion!D77</f>
        <v>0</v>
      </c>
    </row>
    <row r="146" spans="1:4" ht="12.75" customHeight="1" x14ac:dyDescent="0.2">
      <c r="A146" s="89" t="str">
        <f>"      "&amp;Labels!B88</f>
        <v xml:space="preserve">      Trigger Price</v>
      </c>
      <c r="B146" s="122">
        <f>Conversion!B78</f>
        <v>-1</v>
      </c>
      <c r="C146" s="122">
        <f>Conversion!C78</f>
        <v>-1</v>
      </c>
      <c r="D146" s="123">
        <f>Conversion!D78</f>
        <v>-1</v>
      </c>
    </row>
    <row r="147" spans="1:4" ht="12.75" customHeight="1" x14ac:dyDescent="0.2">
      <c r="A147" s="28" t="str">
        <f>Labels!B108</f>
        <v>Common</v>
      </c>
      <c r="B147" s="116"/>
      <c r="C147" s="116"/>
      <c r="D147" s="117"/>
    </row>
    <row r="148" spans="1:4" ht="12.75" customHeight="1" x14ac:dyDescent="0.2">
      <c r="A148" s="89" t="str">
        <f>"      "&amp;Labels!B84</f>
        <v xml:space="preserve">      Trigger Date</v>
      </c>
      <c r="B148" s="122">
        <f>Conversion!B80</f>
        <v>-1</v>
      </c>
      <c r="C148" s="122">
        <f>Conversion!C80</f>
        <v>-1</v>
      </c>
      <c r="D148" s="123">
        <f>Conversion!D80</f>
        <v>-1</v>
      </c>
    </row>
    <row r="149" spans="1:4" ht="12.75" customHeight="1" x14ac:dyDescent="0.2">
      <c r="A149" s="89" t="str">
        <f>"      "&amp;Labels!B85</f>
        <v xml:space="preserve">      Trigger Invest</v>
      </c>
      <c r="B149" s="122">
        <f>Conversion!B81</f>
        <v>-1</v>
      </c>
      <c r="C149" s="122">
        <f>Conversion!C81</f>
        <v>-1</v>
      </c>
      <c r="D149" s="123">
        <f>Conversion!D81</f>
        <v>-1</v>
      </c>
    </row>
    <row r="150" spans="1:4" ht="12.75" customHeight="1" x14ac:dyDescent="0.2">
      <c r="A150" s="89" t="str">
        <f>"      "&amp;Labels!B86</f>
        <v xml:space="preserve">      Trigger Value %</v>
      </c>
      <c r="B150" s="122">
        <f>Conversion!B82</f>
        <v>-1</v>
      </c>
      <c r="C150" s="122">
        <f>Conversion!C82</f>
        <v>-1</v>
      </c>
      <c r="D150" s="123">
        <f>Conversion!D82</f>
        <v>-1</v>
      </c>
    </row>
    <row r="151" spans="1:4" ht="12.75" customHeight="1" x14ac:dyDescent="0.2">
      <c r="A151" s="89" t="str">
        <f>"      "&amp;Labels!B87</f>
        <v xml:space="preserve">      Liquidation</v>
      </c>
      <c r="B151" s="122">
        <f>Conversion!B83</f>
        <v>-1</v>
      </c>
      <c r="C151" s="122">
        <f>Conversion!C83</f>
        <v>-1</v>
      </c>
      <c r="D151" s="123">
        <f>Conversion!D83</f>
        <v>-1</v>
      </c>
    </row>
    <row r="152" spans="1:4" ht="12.75" customHeight="1" x14ac:dyDescent="0.2">
      <c r="A152" s="89" t="str">
        <f>"      "&amp;Labels!B88</f>
        <v xml:space="preserve">      Trigger Price</v>
      </c>
      <c r="B152" s="122">
        <f>Conversion!B84</f>
        <v>-1</v>
      </c>
      <c r="C152" s="122">
        <f>Conversion!C84</f>
        <v>-1</v>
      </c>
      <c r="D152" s="123">
        <f>Conversion!D84</f>
        <v>-1</v>
      </c>
    </row>
    <row r="153" spans="1:4" ht="12.75" customHeight="1" x14ac:dyDescent="0.2">
      <c r="A153" s="28" t="str">
        <f>Labels!B109</f>
        <v>Warrant</v>
      </c>
      <c r="B153" s="116"/>
      <c r="C153" s="116"/>
      <c r="D153" s="117"/>
    </row>
    <row r="154" spans="1:4" ht="12.75" customHeight="1" x14ac:dyDescent="0.2">
      <c r="A154" s="89" t="str">
        <f>"      "&amp;Labels!B84</f>
        <v xml:space="preserve">      Trigger Date</v>
      </c>
      <c r="B154" s="122">
        <f>Conversion!B86</f>
        <v>0</v>
      </c>
      <c r="C154" s="122">
        <f>Conversion!C86</f>
        <v>1</v>
      </c>
      <c r="D154" s="123">
        <f>Conversion!D86</f>
        <v>1</v>
      </c>
    </row>
    <row r="155" spans="1:4" ht="12.75" customHeight="1" x14ac:dyDescent="0.2">
      <c r="A155" s="89" t="str">
        <f>"      "&amp;Labels!B85</f>
        <v xml:space="preserve">      Trigger Invest</v>
      </c>
      <c r="B155" s="122">
        <f>Conversion!B87</f>
        <v>0</v>
      </c>
      <c r="C155" s="122">
        <f>Conversion!C87</f>
        <v>0</v>
      </c>
      <c r="D155" s="123">
        <f>Conversion!D87</f>
        <v>0</v>
      </c>
    </row>
    <row r="156" spans="1:4" ht="12.75" customHeight="1" x14ac:dyDescent="0.2">
      <c r="A156" s="89" t="str">
        <f>"      "&amp;Labels!B86</f>
        <v xml:space="preserve">      Trigger Value %</v>
      </c>
      <c r="B156" s="122">
        <f>Conversion!B88</f>
        <v>-1</v>
      </c>
      <c r="C156" s="122">
        <f>Conversion!C88</f>
        <v>-1</v>
      </c>
      <c r="D156" s="123">
        <f>Conversion!D88</f>
        <v>-1</v>
      </c>
    </row>
    <row r="157" spans="1:4" ht="12.75" customHeight="1" x14ac:dyDescent="0.2">
      <c r="A157" s="89" t="str">
        <f>"      "&amp;Labels!B87</f>
        <v xml:space="preserve">      Liquidation</v>
      </c>
      <c r="B157" s="122">
        <f>Conversion!B89</f>
        <v>-1</v>
      </c>
      <c r="C157" s="122">
        <f>Conversion!C89</f>
        <v>-1</v>
      </c>
      <c r="D157" s="123">
        <f>Conversion!D89</f>
        <v>-1</v>
      </c>
    </row>
    <row r="158" spans="1:4" ht="12.75" customHeight="1" x14ac:dyDescent="0.2">
      <c r="A158" s="89" t="str">
        <f>"      "&amp;Labels!B88</f>
        <v xml:space="preserve">      Trigger Price</v>
      </c>
      <c r="B158" s="122">
        <f>Conversion!B90</f>
        <v>1</v>
      </c>
      <c r="C158" s="122">
        <f>Conversion!C90</f>
        <v>1</v>
      </c>
      <c r="D158" s="123">
        <f>Conversion!D90</f>
        <v>1</v>
      </c>
    </row>
    <row r="159" spans="1:4" ht="12.75" customHeight="1" x14ac:dyDescent="0.2">
      <c r="A159" s="73" t="str">
        <f>Labels!B110</f>
        <v>Option</v>
      </c>
      <c r="B159" s="202"/>
      <c r="C159" s="202"/>
      <c r="D159" s="203"/>
    </row>
    <row r="160" spans="1:4" ht="12.75" customHeight="1" x14ac:dyDescent="0.2">
      <c r="A160" s="28" t="str">
        <f>"   "&amp;Labels!B111</f>
        <v xml:space="preserve">   Series B</v>
      </c>
      <c r="B160" s="116"/>
      <c r="C160" s="116"/>
      <c r="D160" s="117"/>
    </row>
    <row r="161" spans="1:5" ht="12.75" customHeight="1" x14ac:dyDescent="0.2">
      <c r="A161" s="89" t="str">
        <f>"      "&amp;Labels!B84</f>
        <v xml:space="preserve">      Trigger Date</v>
      </c>
      <c r="B161" s="122">
        <f>Conversion!B93</f>
        <v>0</v>
      </c>
      <c r="C161" s="122">
        <f>Conversion!C93</f>
        <v>1</v>
      </c>
      <c r="D161" s="123">
        <f>Conversion!D93</f>
        <v>1</v>
      </c>
    </row>
    <row r="162" spans="1:5" ht="12.75" customHeight="1" x14ac:dyDescent="0.2">
      <c r="A162" s="89" t="str">
        <f>"      "&amp;Labels!B85</f>
        <v xml:space="preserve">      Trigger Invest</v>
      </c>
      <c r="B162" s="122">
        <f>Conversion!B94</f>
        <v>0</v>
      </c>
      <c r="C162" s="122">
        <f>Conversion!C94</f>
        <v>0</v>
      </c>
      <c r="D162" s="123">
        <f>Conversion!D94</f>
        <v>0</v>
      </c>
    </row>
    <row r="163" spans="1:5" ht="12.75" customHeight="1" x14ac:dyDescent="0.2">
      <c r="A163" s="89" t="str">
        <f>"      "&amp;Labels!B86</f>
        <v xml:space="preserve">      Trigger Value %</v>
      </c>
      <c r="B163" s="122">
        <f>Conversion!B95</f>
        <v>-1</v>
      </c>
      <c r="C163" s="122">
        <f>Conversion!C95</f>
        <v>-1</v>
      </c>
      <c r="D163" s="123">
        <f>Conversion!D95</f>
        <v>-1</v>
      </c>
    </row>
    <row r="164" spans="1:5" ht="12.75" customHeight="1" x14ac:dyDescent="0.2">
      <c r="A164" s="89" t="str">
        <f>"      "&amp;Labels!B87</f>
        <v xml:space="preserve">      Liquidation</v>
      </c>
      <c r="B164" s="122">
        <f>Conversion!B96</f>
        <v>-1</v>
      </c>
      <c r="C164" s="122">
        <f>Conversion!C96</f>
        <v>-1</v>
      </c>
      <c r="D164" s="123">
        <f>Conversion!D96</f>
        <v>-1</v>
      </c>
    </row>
    <row r="165" spans="1:5" ht="12.75" customHeight="1" x14ac:dyDescent="0.2">
      <c r="A165" s="89" t="str">
        <f>"      "&amp;Labels!B88</f>
        <v xml:space="preserve">      Trigger Price</v>
      </c>
      <c r="B165" s="122">
        <f>Conversion!B97</f>
        <v>1</v>
      </c>
      <c r="C165" s="122">
        <f>Conversion!C97</f>
        <v>1</v>
      </c>
      <c r="D165" s="123">
        <f>Conversion!D97</f>
        <v>1</v>
      </c>
    </row>
    <row r="166" spans="1:5" ht="12.75" customHeight="1" x14ac:dyDescent="0.2">
      <c r="A166" s="28" t="str">
        <f>"   "&amp;Labels!B112</f>
        <v xml:space="preserve">   Series A</v>
      </c>
      <c r="B166" s="116"/>
      <c r="C166" s="116"/>
      <c r="D166" s="117"/>
    </row>
    <row r="167" spans="1:5" ht="12.75" customHeight="1" x14ac:dyDescent="0.2">
      <c r="A167" s="89" t="str">
        <f>"      "&amp;Labels!B84</f>
        <v xml:space="preserve">      Trigger Date</v>
      </c>
      <c r="B167" s="122">
        <f>Conversion!B99</f>
        <v>0</v>
      </c>
      <c r="C167" s="122">
        <f>Conversion!C99</f>
        <v>1</v>
      </c>
      <c r="D167" s="123">
        <f>Conversion!D99</f>
        <v>1</v>
      </c>
    </row>
    <row r="168" spans="1:5" ht="12.75" customHeight="1" x14ac:dyDescent="0.2">
      <c r="A168" s="89" t="str">
        <f>"      "&amp;Labels!B85</f>
        <v xml:space="preserve">      Trigger Invest</v>
      </c>
      <c r="B168" s="122">
        <f>Conversion!B100</f>
        <v>0</v>
      </c>
      <c r="C168" s="122">
        <f>Conversion!C100</f>
        <v>0</v>
      </c>
      <c r="D168" s="123">
        <f>Conversion!D100</f>
        <v>0</v>
      </c>
    </row>
    <row r="169" spans="1:5" ht="12.75" customHeight="1" x14ac:dyDescent="0.2">
      <c r="A169" s="89" t="str">
        <f>"      "&amp;Labels!B86</f>
        <v xml:space="preserve">      Trigger Value %</v>
      </c>
      <c r="B169" s="122">
        <f>Conversion!B101</f>
        <v>-1</v>
      </c>
      <c r="C169" s="122">
        <f>Conversion!C101</f>
        <v>-1</v>
      </c>
      <c r="D169" s="123">
        <f>Conversion!D101</f>
        <v>-1</v>
      </c>
    </row>
    <row r="170" spans="1:5" ht="12.75" customHeight="1" x14ac:dyDescent="0.2">
      <c r="A170" s="89" t="str">
        <f>"      "&amp;Labels!B87</f>
        <v xml:space="preserve">      Liquidation</v>
      </c>
      <c r="B170" s="122">
        <f>Conversion!B102</f>
        <v>-1</v>
      </c>
      <c r="C170" s="122">
        <f>Conversion!C102</f>
        <v>-1</v>
      </c>
      <c r="D170" s="123">
        <f>Conversion!D102</f>
        <v>-1</v>
      </c>
    </row>
    <row r="171" spans="1:5" ht="12.75" customHeight="1" x14ac:dyDescent="0.2">
      <c r="A171" s="101" t="str">
        <f>"      "&amp;Labels!B88</f>
        <v xml:space="preserve">      Trigger Price</v>
      </c>
      <c r="B171" s="124">
        <f>Conversion!B103</f>
        <v>1</v>
      </c>
      <c r="C171" s="124">
        <f>Conversion!C103</f>
        <v>1</v>
      </c>
      <c r="D171" s="125">
        <f>Conversion!D103</f>
        <v>1</v>
      </c>
    </row>
    <row r="172" spans="1:5" ht="12.75" customHeight="1" x14ac:dyDescent="0.2">
      <c r="A172" s="1" t="str">
        <f>Labels!B67</f>
        <v>Conversion Price</v>
      </c>
    </row>
    <row r="173" spans="1:5" ht="12.75" customHeight="1" x14ac:dyDescent="0.2">
      <c r="B173" s="6" t="str">
        <f>Labels!B98</f>
        <v>Seed</v>
      </c>
      <c r="C173" s="7" t="str">
        <f>Labels!B99</f>
        <v>Round A</v>
      </c>
      <c r="D173" s="7" t="str">
        <f>Labels!B100</f>
        <v>Exit</v>
      </c>
      <c r="E173" s="25" t="str">
        <f>Labels!C97</f>
        <v>Total</v>
      </c>
    </row>
    <row r="174" spans="1:5" ht="12.75" customHeight="1" x14ac:dyDescent="0.2">
      <c r="A174" s="11" t="str">
        <f>Labels!B103</f>
        <v>Conv Note</v>
      </c>
      <c r="B174" s="51"/>
      <c r="C174" s="51"/>
      <c r="D174" s="51"/>
      <c r="E174" s="134"/>
    </row>
    <row r="175" spans="1:5" ht="12.75" customHeight="1" x14ac:dyDescent="0.2">
      <c r="A175" s="28" t="str">
        <f>"   "&amp;Labels!B104</f>
        <v xml:space="preserve">   Series B</v>
      </c>
      <c r="B175" s="126">
        <f>Prices!B30</f>
        <v>700000.7</v>
      </c>
      <c r="C175" s="126">
        <f>Prices!C30</f>
        <v>700000</v>
      </c>
      <c r="D175" s="126">
        <f>Prices!D30</f>
        <v>700000</v>
      </c>
      <c r="E175" s="135">
        <f>Prices!D30</f>
        <v>700000</v>
      </c>
    </row>
    <row r="176" spans="1:5" ht="12.75" customHeight="1" x14ac:dyDescent="0.2">
      <c r="A176" s="28" t="str">
        <f>"   "&amp;Labels!B105</f>
        <v xml:space="preserve">   Series A</v>
      </c>
      <c r="B176" s="126">
        <f>Prices!B31</f>
        <v>700000.7</v>
      </c>
      <c r="C176" s="126">
        <f>Prices!C31</f>
        <v>700000</v>
      </c>
      <c r="D176" s="126">
        <f>Prices!D31</f>
        <v>700000</v>
      </c>
      <c r="E176" s="135">
        <f>Prices!D31</f>
        <v>700000</v>
      </c>
    </row>
    <row r="177" spans="1:5" ht="12.75" customHeight="1" x14ac:dyDescent="0.2">
      <c r="A177" s="73" t="str">
        <f>"   "&amp;Labels!C103</f>
        <v xml:space="preserve">   Subtotal</v>
      </c>
      <c r="B177" s="204">
        <f>Prices!B31</f>
        <v>700000.7</v>
      </c>
      <c r="C177" s="204">
        <f>Prices!C31</f>
        <v>700000</v>
      </c>
      <c r="D177" s="204">
        <f>Prices!D31</f>
        <v>700000</v>
      </c>
      <c r="E177" s="135">
        <f>Prices!E31</f>
        <v>700000</v>
      </c>
    </row>
    <row r="178" spans="1:5" ht="12.75" customHeight="1" x14ac:dyDescent="0.2">
      <c r="A178" s="73" t="str">
        <f>Labels!B106</f>
        <v>Preferred</v>
      </c>
      <c r="B178" s="204"/>
      <c r="C178" s="204"/>
      <c r="D178" s="204"/>
      <c r="E178" s="135"/>
    </row>
    <row r="179" spans="1:5" ht="12.75" customHeight="1" x14ac:dyDescent="0.2">
      <c r="A179" s="28" t="str">
        <f>"   "&amp;Labels!B107</f>
        <v xml:space="preserve">   Series A</v>
      </c>
      <c r="B179" s="126">
        <f>Prices!B36</f>
        <v>1000001</v>
      </c>
      <c r="C179" s="126">
        <f>Prices!C36</f>
        <v>1000000</v>
      </c>
      <c r="D179" s="126">
        <f>Prices!D36</f>
        <v>1000000</v>
      </c>
      <c r="E179" s="135">
        <f>Prices!D36</f>
        <v>1000000</v>
      </c>
    </row>
    <row r="180" spans="1:5" ht="12.75" customHeight="1" x14ac:dyDescent="0.2">
      <c r="A180" s="73" t="str">
        <f>"   "&amp;Labels!C106</f>
        <v xml:space="preserve">   Subtotal</v>
      </c>
      <c r="B180" s="204">
        <f>Prices!B36</f>
        <v>1000001</v>
      </c>
      <c r="C180" s="204">
        <f>Prices!C36</f>
        <v>1000000</v>
      </c>
      <c r="D180" s="204">
        <f>Prices!D36</f>
        <v>1000000</v>
      </c>
      <c r="E180" s="135">
        <f>Prices!E36</f>
        <v>1000000</v>
      </c>
    </row>
    <row r="181" spans="1:5" ht="12.75" customHeight="1" x14ac:dyDescent="0.2">
      <c r="A181" s="73" t="str">
        <f>Labels!B108</f>
        <v>Common</v>
      </c>
      <c r="B181" s="204">
        <f>MAX(0,IF(Shares!B87=0,0,(B192-B200-B203-SUM(B214:B215)-SUM(B218))/Shares!B87))</f>
        <v>1000001</v>
      </c>
      <c r="C181" s="204">
        <f>MAX(0,IF(Shares!C87=0,0,(C192-C200-C203-SUM(C214:C215)-SUM(C218))/Shares!C87))</f>
        <v>1000000</v>
      </c>
      <c r="D181" s="204">
        <f>MAX(0,IF(Shares!D87=0,0,(D192-D200-D203-SUM(D214:D215)-SUM(D218))/Shares!D87))</f>
        <v>1000000</v>
      </c>
      <c r="E181" s="135">
        <f>D181</f>
        <v>1000000</v>
      </c>
    </row>
    <row r="182" spans="1:5" ht="12.75" customHeight="1" x14ac:dyDescent="0.2">
      <c r="A182" s="73" t="str">
        <f>Labels!B109</f>
        <v>Warrant</v>
      </c>
      <c r="B182" s="204">
        <f>Prices!B40</f>
        <v>1000001</v>
      </c>
      <c r="C182" s="204">
        <f>Prices!C40</f>
        <v>1000000</v>
      </c>
      <c r="D182" s="204">
        <f>Prices!D40</f>
        <v>1000000</v>
      </c>
      <c r="E182" s="135">
        <f>Prices!D40</f>
        <v>1000000</v>
      </c>
    </row>
    <row r="183" spans="1:5" ht="12.75" customHeight="1" x14ac:dyDescent="0.2">
      <c r="A183" s="73" t="str">
        <f>Labels!B110</f>
        <v>Option</v>
      </c>
      <c r="B183" s="204"/>
      <c r="C183" s="204"/>
      <c r="D183" s="204"/>
      <c r="E183" s="135"/>
    </row>
    <row r="184" spans="1:5" ht="12.75" customHeight="1" x14ac:dyDescent="0.2">
      <c r="A184" s="28" t="str">
        <f>"   "&amp;Labels!B111</f>
        <v xml:space="preserve">   Series B</v>
      </c>
      <c r="B184" s="126">
        <f>Prices!B44</f>
        <v>1000001</v>
      </c>
      <c r="C184" s="126">
        <f>Prices!C44</f>
        <v>1000000</v>
      </c>
      <c r="D184" s="126">
        <f>Prices!D44</f>
        <v>1000000</v>
      </c>
      <c r="E184" s="135">
        <f>Prices!D44</f>
        <v>1000000</v>
      </c>
    </row>
    <row r="185" spans="1:5" ht="12.75" customHeight="1" x14ac:dyDescent="0.2">
      <c r="A185" s="28" t="str">
        <f>"   "&amp;Labels!B112</f>
        <v xml:space="preserve">   Series A</v>
      </c>
      <c r="B185" s="126">
        <f>Prices!B45</f>
        <v>1000001</v>
      </c>
      <c r="C185" s="126">
        <f>Prices!C45</f>
        <v>1000000</v>
      </c>
      <c r="D185" s="126">
        <f>Prices!D45</f>
        <v>1000000</v>
      </c>
      <c r="E185" s="135">
        <f>Prices!D45</f>
        <v>1000000</v>
      </c>
    </row>
    <row r="186" spans="1:5" ht="12.75" customHeight="1" x14ac:dyDescent="0.2">
      <c r="A186" s="73" t="str">
        <f>"   "&amp;Labels!C110</f>
        <v xml:space="preserve">   Subtotal</v>
      </c>
      <c r="B186" s="204">
        <f>Prices!B45</f>
        <v>1000001</v>
      </c>
      <c r="C186" s="204">
        <f>Prices!C45</f>
        <v>1000000</v>
      </c>
      <c r="D186" s="204">
        <f>Prices!D45</f>
        <v>1000000</v>
      </c>
      <c r="E186" s="135">
        <f>Prices!E45</f>
        <v>1000000</v>
      </c>
    </row>
    <row r="187" spans="1:5" ht="12.75" customHeight="1" x14ac:dyDescent="0.2">
      <c r="A187" s="4" t="str">
        <f>Labels!C102</f>
        <v>Total</v>
      </c>
      <c r="B187" s="137">
        <f>Prices!B46</f>
        <v>1000001</v>
      </c>
      <c r="C187" s="137">
        <f>Prices!C46</f>
        <v>1000000</v>
      </c>
      <c r="D187" s="137">
        <f>Prices!D46</f>
        <v>1000000</v>
      </c>
      <c r="E187" s="46">
        <f>D187</f>
        <v>1000000</v>
      </c>
    </row>
    <row r="188" spans="1:5" ht="12.75" customHeight="1" x14ac:dyDescent="0.2">
      <c r="A188" s="1" t="str">
        <f>Labels!B22</f>
        <v>Firm Value</v>
      </c>
    </row>
    <row r="189" spans="1:5" ht="12.75" customHeight="1" x14ac:dyDescent="0.2">
      <c r="B189" s="6" t="str">
        <f>Labels!B98</f>
        <v>Seed</v>
      </c>
      <c r="C189" s="7" t="str">
        <f>Labels!B99</f>
        <v>Round A</v>
      </c>
      <c r="D189" s="8" t="str">
        <f>Labels!B100</f>
        <v>Exit</v>
      </c>
    </row>
    <row r="190" spans="1:5" ht="12.75" customHeight="1" x14ac:dyDescent="0.2">
      <c r="A190" s="11" t="str">
        <f>Labels!B91</f>
        <v>Start</v>
      </c>
      <c r="B190" s="26">
        <f>Valuation!B10</f>
        <v>1000000</v>
      </c>
      <c r="C190" s="26">
        <f>Valuation!C10</f>
        <v>1000000</v>
      </c>
      <c r="D190" s="188">
        <f>Valuation!D10</f>
        <v>1000000</v>
      </c>
    </row>
    <row r="191" spans="1:5" ht="12.75" customHeight="1" x14ac:dyDescent="0.2">
      <c r="A191" s="73" t="str">
        <f>Labels!B92</f>
        <v>New Sales</v>
      </c>
      <c r="B191" s="74">
        <f>Investment!B241</f>
        <v>1</v>
      </c>
      <c r="C191" s="74">
        <f>Investment!C241</f>
        <v>0</v>
      </c>
      <c r="D191" s="189">
        <f>Investment!D241</f>
        <v>0</v>
      </c>
    </row>
    <row r="192" spans="1:5" ht="12.75" customHeight="1" x14ac:dyDescent="0.2">
      <c r="A192" s="73" t="str">
        <f>Labels!B93</f>
        <v>Post Sales</v>
      </c>
      <c r="B192" s="74">
        <f>B190+B191</f>
        <v>1000001</v>
      </c>
      <c r="C192" s="74">
        <f>C190+C191</f>
        <v>1000000</v>
      </c>
      <c r="D192" s="189">
        <f>D190+D191</f>
        <v>1000000</v>
      </c>
    </row>
    <row r="193" spans="1:5" ht="12.75" customHeight="1" x14ac:dyDescent="0.2">
      <c r="A193" s="73" t="str">
        <f>Labels!B94</f>
        <v>Convert</v>
      </c>
      <c r="B193" s="74">
        <f>B93</f>
        <v>0</v>
      </c>
      <c r="C193" s="74">
        <f>C93</f>
        <v>0</v>
      </c>
      <c r="D193" s="189">
        <f>D93</f>
        <v>0</v>
      </c>
    </row>
    <row r="194" spans="1:5" ht="12.75" customHeight="1" x14ac:dyDescent="0.2">
      <c r="A194" s="15" t="str">
        <f>Labels!B95</f>
        <v>End</v>
      </c>
      <c r="B194" s="31">
        <f>Valuation!B22</f>
        <v>1000001</v>
      </c>
      <c r="C194" s="31">
        <f>Valuation!C22</f>
        <v>1000000</v>
      </c>
      <c r="D194" s="205">
        <f>Valuation!D22</f>
        <v>1000000</v>
      </c>
    </row>
    <row r="195" spans="1:5" ht="12.75" customHeight="1" x14ac:dyDescent="0.2">
      <c r="A195" s="1" t="str">
        <f>Labels!B48</f>
        <v>Liquidation Preference</v>
      </c>
    </row>
    <row r="196" spans="1:5" ht="12.75" customHeight="1" x14ac:dyDescent="0.2">
      <c r="B196" s="6" t="str">
        <f>Labels!B98</f>
        <v>Seed</v>
      </c>
      <c r="C196" s="7" t="str">
        <f>Labels!B99</f>
        <v>Round A</v>
      </c>
      <c r="D196" s="7" t="str">
        <f>Labels!B100</f>
        <v>Exit</v>
      </c>
      <c r="E196" s="25" t="str">
        <f>Labels!C97</f>
        <v>Total</v>
      </c>
    </row>
    <row r="197" spans="1:5" ht="12.75" customHeight="1" x14ac:dyDescent="0.2">
      <c r="A197" s="11" t="str">
        <f>Labels!B103</f>
        <v>Conv Note</v>
      </c>
      <c r="B197" s="26"/>
      <c r="C197" s="26"/>
      <c r="D197" s="26"/>
      <c r="E197" s="27"/>
    </row>
    <row r="198" spans="1:5" ht="12.75" customHeight="1" x14ac:dyDescent="0.2">
      <c r="A198" s="28" t="str">
        <f>"   "&amp;Labels!B104</f>
        <v xml:space="preserve">   Series B</v>
      </c>
      <c r="B198" s="70">
        <f>Payout!B75</f>
        <v>0</v>
      </c>
      <c r="C198" s="70">
        <f>Payout!C75</f>
        <v>0</v>
      </c>
      <c r="D198" s="70">
        <f>Payout!D75</f>
        <v>0</v>
      </c>
      <c r="E198" s="30">
        <f>SUM(B198:D198)</f>
        <v>0</v>
      </c>
    </row>
    <row r="199" spans="1:5" ht="12.75" customHeight="1" x14ac:dyDescent="0.2">
      <c r="A199" s="28" t="str">
        <f>"   "&amp;Labels!B105</f>
        <v xml:space="preserve">   Series A</v>
      </c>
      <c r="B199" s="70">
        <f>Payout!B76</f>
        <v>0</v>
      </c>
      <c r="C199" s="70">
        <f>Payout!C76</f>
        <v>0</v>
      </c>
      <c r="D199" s="70">
        <f>Payout!D76</f>
        <v>0</v>
      </c>
      <c r="E199" s="30">
        <f>SUM(B199:D199)</f>
        <v>0</v>
      </c>
    </row>
    <row r="200" spans="1:5" ht="12.75" customHeight="1" x14ac:dyDescent="0.2">
      <c r="A200" s="73" t="str">
        <f>"   "&amp;Labels!C103</f>
        <v xml:space="preserve">   Subtotal</v>
      </c>
      <c r="B200" s="74">
        <f>SUM(B198:B199)</f>
        <v>0</v>
      </c>
      <c r="C200" s="74">
        <f>SUM(C198:C199)</f>
        <v>0</v>
      </c>
      <c r="D200" s="74">
        <f>SUM(D198:D199)</f>
        <v>0</v>
      </c>
      <c r="E200" s="30">
        <f>SUM(E198:E199)</f>
        <v>0</v>
      </c>
    </row>
    <row r="201" spans="1:5" ht="12.75" customHeight="1" x14ac:dyDescent="0.2">
      <c r="A201" s="73" t="str">
        <f>Labels!B106</f>
        <v>Preferred</v>
      </c>
      <c r="B201" s="74"/>
      <c r="C201" s="74"/>
      <c r="D201" s="74"/>
      <c r="E201" s="30"/>
    </row>
    <row r="202" spans="1:5" ht="12.75" customHeight="1" x14ac:dyDescent="0.2">
      <c r="A202" s="28" t="str">
        <f>"   "&amp;Labels!B107</f>
        <v xml:space="preserve">   Series A</v>
      </c>
      <c r="B202" s="70">
        <f>Payout!B81</f>
        <v>0</v>
      </c>
      <c r="C202" s="70">
        <f>Payout!C81</f>
        <v>0</v>
      </c>
      <c r="D202" s="70">
        <f>Payout!D81</f>
        <v>0</v>
      </c>
      <c r="E202" s="30">
        <f>SUM(B202:D202)</f>
        <v>0</v>
      </c>
    </row>
    <row r="203" spans="1:5" ht="12.75" customHeight="1" x14ac:dyDescent="0.2">
      <c r="A203" s="73" t="str">
        <f>"   "&amp;Labels!C106</f>
        <v xml:space="preserve">   Subtotal</v>
      </c>
      <c r="B203" s="74">
        <f>Payout!B81</f>
        <v>0</v>
      </c>
      <c r="C203" s="74">
        <f>Payout!C81</f>
        <v>0</v>
      </c>
      <c r="D203" s="74">
        <f>Payout!D81</f>
        <v>0</v>
      </c>
      <c r="E203" s="30">
        <f>Payout!E81</f>
        <v>0</v>
      </c>
    </row>
    <row r="204" spans="1:5" ht="12.75" customHeight="1" x14ac:dyDescent="0.2">
      <c r="A204" s="73" t="str">
        <f>Labels!B108</f>
        <v>Common</v>
      </c>
      <c r="B204" s="74">
        <f>MAX(0,0+(Investment!B296+Investment!B235-Investment!B265)*Boneyard!F25)</f>
        <v>0</v>
      </c>
      <c r="C204" s="74">
        <f>MAX(0,B204+(Investment!C296+Investment!C235-Investment!C265)*Boneyard!F25)</f>
        <v>0</v>
      </c>
      <c r="D204" s="74">
        <f>MAX(0,C204+(Investment!D296+Investment!D235-Investment!D265)*Boneyard!F25)</f>
        <v>0</v>
      </c>
      <c r="E204" s="30">
        <f>SUM(B204:D204)</f>
        <v>0</v>
      </c>
    </row>
    <row r="205" spans="1:5" ht="12.75" customHeight="1" x14ac:dyDescent="0.2">
      <c r="A205" s="73" t="str">
        <f>Labels!B109</f>
        <v>Warrant</v>
      </c>
      <c r="B205" s="74">
        <f>MAX(0,0+(Investment!B297+Investment!B236-Investment!B266)*Boneyard!F26)</f>
        <v>0</v>
      </c>
      <c r="C205" s="74">
        <f>MAX(0,B205+(Investment!C297+Investment!C236-Investment!C266)*Boneyard!F26)</f>
        <v>0</v>
      </c>
      <c r="D205" s="74">
        <f>MAX(0,C205+(Investment!D297+Investment!D236-Investment!D266)*Boneyard!F26)</f>
        <v>0</v>
      </c>
      <c r="E205" s="30">
        <f>SUM(B205:D205)</f>
        <v>0</v>
      </c>
    </row>
    <row r="206" spans="1:5" ht="12.75" customHeight="1" x14ac:dyDescent="0.2">
      <c r="A206" s="73" t="str">
        <f>Labels!B110</f>
        <v>Option</v>
      </c>
      <c r="B206" s="74"/>
      <c r="C206" s="74"/>
      <c r="D206" s="74"/>
      <c r="E206" s="30"/>
    </row>
    <row r="207" spans="1:5" ht="12.75" customHeight="1" x14ac:dyDescent="0.2">
      <c r="A207" s="28" t="str">
        <f>"   "&amp;Labels!B111</f>
        <v xml:space="preserve">   Series B</v>
      </c>
      <c r="B207" s="70">
        <f>MAX(0,0+(Investment!B299+Investment!B238-Investment!B268)*Boneyard!F28)</f>
        <v>0</v>
      </c>
      <c r="C207" s="70">
        <f>MAX(0,B207+(Investment!C299+Investment!C238-Investment!C268)*Boneyard!F28)</f>
        <v>0</v>
      </c>
      <c r="D207" s="70">
        <f>MAX(0,C207+(Investment!D299+Investment!D238-Investment!D268)*Boneyard!F28)</f>
        <v>0</v>
      </c>
      <c r="E207" s="30">
        <f>SUM(B207:D207)</f>
        <v>0</v>
      </c>
    </row>
    <row r="208" spans="1:5" ht="12.75" customHeight="1" x14ac:dyDescent="0.2">
      <c r="A208" s="28" t="str">
        <f>"   "&amp;Labels!B112</f>
        <v xml:space="preserve">   Series A</v>
      </c>
      <c r="B208" s="70">
        <f>MAX(0,0+(Investment!B300+Investment!B239-Investment!B269)*Boneyard!F29)</f>
        <v>0</v>
      </c>
      <c r="C208" s="70">
        <f>MAX(0,B208+(Investment!C300+Investment!C239-Investment!C269)*Boneyard!F29)</f>
        <v>0</v>
      </c>
      <c r="D208" s="70">
        <f>MAX(0,C208+(Investment!D300+Investment!D239-Investment!D269)*Boneyard!F29)</f>
        <v>0</v>
      </c>
      <c r="E208" s="30">
        <f>SUM(B208:D208)</f>
        <v>0</v>
      </c>
    </row>
    <row r="209" spans="1:5" ht="12.75" customHeight="1" x14ac:dyDescent="0.2">
      <c r="A209" s="73" t="str">
        <f>"   "&amp;Labels!C110</f>
        <v xml:space="preserve">   Subtotal</v>
      </c>
      <c r="B209" s="74">
        <f>SUM(B207:B208)</f>
        <v>0</v>
      </c>
      <c r="C209" s="74">
        <f>SUM(C207:C208)</f>
        <v>0</v>
      </c>
      <c r="D209" s="74">
        <f>SUM(D207:D208)</f>
        <v>0</v>
      </c>
      <c r="E209" s="30">
        <f>SUM(B209:D209)</f>
        <v>0</v>
      </c>
    </row>
    <row r="210" spans="1:5" ht="12.75" customHeight="1" x14ac:dyDescent="0.2">
      <c r="A210" s="4" t="str">
        <f>Labels!C102</f>
        <v>Total</v>
      </c>
      <c r="B210" s="77">
        <f>SUM(B200,B203:B205,B209)</f>
        <v>0</v>
      </c>
      <c r="C210" s="77">
        <f>SUM(C200,C203:C205,C209)</f>
        <v>0</v>
      </c>
      <c r="D210" s="77">
        <f>SUM(D200,D203:D205,D209)</f>
        <v>0</v>
      </c>
      <c r="E210" s="47">
        <f>SUM(B210:D210)</f>
        <v>0</v>
      </c>
    </row>
    <row r="211" spans="1:5" ht="12.75" customHeight="1" x14ac:dyDescent="0.2">
      <c r="A211" s="1" t="str">
        <f>Labels!B50</f>
        <v>Liq Preference New</v>
      </c>
    </row>
    <row r="212" spans="1:5" ht="12.75" customHeight="1" x14ac:dyDescent="0.2">
      <c r="B212" s="6" t="str">
        <f>Labels!B98</f>
        <v>Seed</v>
      </c>
      <c r="C212" s="7" t="str">
        <f>Labels!B99</f>
        <v>Round A</v>
      </c>
      <c r="D212" s="7" t="str">
        <f>Labels!B100</f>
        <v>Exit</v>
      </c>
      <c r="E212" s="25" t="str">
        <f>Labels!C97</f>
        <v>Total</v>
      </c>
    </row>
    <row r="213" spans="1:5" ht="12.75" customHeight="1" x14ac:dyDescent="0.2">
      <c r="A213" s="11" t="str">
        <f>Labels!B103</f>
        <v>Conv Note</v>
      </c>
      <c r="B213" s="26"/>
      <c r="C213" s="26"/>
      <c r="D213" s="26"/>
      <c r="E213" s="27"/>
    </row>
    <row r="214" spans="1:5" ht="12.75" customHeight="1" x14ac:dyDescent="0.2">
      <c r="A214" s="28" t="str">
        <f>"   "&amp;Labels!B104</f>
        <v xml:space="preserve">   Series B</v>
      </c>
      <c r="B214" s="70">
        <f>MAX(0,(Investment!B290+Investment!B229)*Inputs!C23)</f>
        <v>0</v>
      </c>
      <c r="C214" s="70">
        <f>MAX(0,(Investment!C290+Investment!C229)*Inputs!C23)</f>
        <v>0</v>
      </c>
      <c r="D214" s="70">
        <f>MAX(0,(Investment!D290+Investment!D229)*Inputs!C23)</f>
        <v>0</v>
      </c>
      <c r="E214" s="30">
        <f>SUM(B214:D214)</f>
        <v>0</v>
      </c>
    </row>
    <row r="215" spans="1:5" ht="12.75" customHeight="1" x14ac:dyDescent="0.2">
      <c r="A215" s="28" t="str">
        <f>"   "&amp;Labels!B105</f>
        <v xml:space="preserve">   Series A</v>
      </c>
      <c r="B215" s="70">
        <f>MAX(0,(Investment!B291+Investment!B230)*Inputs!C24)</f>
        <v>0</v>
      </c>
      <c r="C215" s="70">
        <f>MAX(0,(Investment!C291+Investment!C230)*Inputs!C24)</f>
        <v>0</v>
      </c>
      <c r="D215" s="70">
        <f>MAX(0,(Investment!D291+Investment!D230)*Inputs!C24)</f>
        <v>0</v>
      </c>
      <c r="E215" s="30">
        <f>SUM(B215:D215)</f>
        <v>0</v>
      </c>
    </row>
    <row r="216" spans="1:5" ht="12.75" customHeight="1" x14ac:dyDescent="0.2">
      <c r="A216" s="73" t="str">
        <f>"   "&amp;Labels!C103</f>
        <v xml:space="preserve">   Subtotal</v>
      </c>
      <c r="B216" s="74">
        <f>SUM(B214:B215)</f>
        <v>0</v>
      </c>
      <c r="C216" s="74">
        <f>SUM(C214:C215)</f>
        <v>0</v>
      </c>
      <c r="D216" s="74">
        <f>SUM(D214:D215)</f>
        <v>0</v>
      </c>
      <c r="E216" s="30">
        <f>SUM(B216:D216)</f>
        <v>0</v>
      </c>
    </row>
    <row r="217" spans="1:5" ht="12.75" customHeight="1" x14ac:dyDescent="0.2">
      <c r="A217" s="73" t="str">
        <f>Labels!B106</f>
        <v>Preferred</v>
      </c>
      <c r="B217" s="74"/>
      <c r="C217" s="74"/>
      <c r="D217" s="74"/>
      <c r="E217" s="30"/>
    </row>
    <row r="218" spans="1:5" ht="12.75" customHeight="1" x14ac:dyDescent="0.2">
      <c r="A218" s="28" t="str">
        <f>"   "&amp;Labels!B107</f>
        <v xml:space="preserve">   Series A</v>
      </c>
      <c r="B218" s="70">
        <f>MAX(0,(Investment!B294+Investment!B233)*Inputs!B53)</f>
        <v>0</v>
      </c>
      <c r="C218" s="70">
        <f>MAX(0,(Investment!C294+Investment!C233)*Inputs!B53)</f>
        <v>0</v>
      </c>
      <c r="D218" s="70">
        <f>MAX(0,(Investment!D294+Investment!D233)*Inputs!B53)</f>
        <v>0</v>
      </c>
      <c r="E218" s="30">
        <f>SUM(B218:D218)</f>
        <v>0</v>
      </c>
    </row>
    <row r="219" spans="1:5" ht="12.75" customHeight="1" x14ac:dyDescent="0.2">
      <c r="A219" s="73" t="str">
        <f>"   "&amp;Labels!C106</f>
        <v xml:space="preserve">   Subtotal</v>
      </c>
      <c r="B219" s="74">
        <f>B218</f>
        <v>0</v>
      </c>
      <c r="C219" s="74">
        <f>C218</f>
        <v>0</v>
      </c>
      <c r="D219" s="74">
        <f>D218</f>
        <v>0</v>
      </c>
      <c r="E219" s="30">
        <f>SUM(B219:D219)</f>
        <v>0</v>
      </c>
    </row>
    <row r="220" spans="1:5" ht="12.75" customHeight="1" x14ac:dyDescent="0.2">
      <c r="A220" s="73" t="str">
        <f>Labels!B108</f>
        <v>Common</v>
      </c>
      <c r="B220" s="74">
        <f>MAX(0,(Investment!B296+Investment!B235)*Boneyard!F25)</f>
        <v>0</v>
      </c>
      <c r="C220" s="74">
        <f>MAX(0,(Investment!C296+Investment!C235)*Boneyard!F25)</f>
        <v>0</v>
      </c>
      <c r="D220" s="74">
        <f>MAX(0,(Investment!D296+Investment!D235)*Boneyard!F25)</f>
        <v>0</v>
      </c>
      <c r="E220" s="30">
        <f>SUM(B220:D220)</f>
        <v>0</v>
      </c>
    </row>
    <row r="221" spans="1:5" ht="12.75" customHeight="1" x14ac:dyDescent="0.2">
      <c r="A221" s="73" t="str">
        <f>Labels!B109</f>
        <v>Warrant</v>
      </c>
      <c r="B221" s="74">
        <f>MAX(0,(Investment!B297+Investment!B236)*Boneyard!F26)</f>
        <v>0</v>
      </c>
      <c r="C221" s="74">
        <f>MAX(0,(Investment!C297+Investment!C236)*Boneyard!F26)</f>
        <v>0</v>
      </c>
      <c r="D221" s="74">
        <f>MAX(0,(Investment!D297+Investment!D236)*Boneyard!F26)</f>
        <v>0</v>
      </c>
      <c r="E221" s="30">
        <f>SUM(B221:D221)</f>
        <v>0</v>
      </c>
    </row>
    <row r="222" spans="1:5" ht="12.75" customHeight="1" x14ac:dyDescent="0.2">
      <c r="A222" s="73" t="str">
        <f>Labels!B110</f>
        <v>Option</v>
      </c>
      <c r="B222" s="74"/>
      <c r="C222" s="74"/>
      <c r="D222" s="74"/>
      <c r="E222" s="30"/>
    </row>
    <row r="223" spans="1:5" ht="12.75" customHeight="1" x14ac:dyDescent="0.2">
      <c r="A223" s="28" t="str">
        <f>"   "&amp;Labels!B111</f>
        <v xml:space="preserve">   Series B</v>
      </c>
      <c r="B223" s="70">
        <f>MAX(0,(Investment!B299+Investment!B238)*Boneyard!F28)</f>
        <v>0</v>
      </c>
      <c r="C223" s="70">
        <f>MAX(0,(Investment!C299+Investment!C238)*Boneyard!F28)</f>
        <v>0</v>
      </c>
      <c r="D223" s="70">
        <f>MAX(0,(Investment!D299+Investment!D238)*Boneyard!F28)</f>
        <v>0</v>
      </c>
      <c r="E223" s="30">
        <f>SUM(B223:D223)</f>
        <v>0</v>
      </c>
    </row>
    <row r="224" spans="1:5" ht="12.75" customHeight="1" x14ac:dyDescent="0.2">
      <c r="A224" s="28" t="str">
        <f>"   "&amp;Labels!B112</f>
        <v xml:space="preserve">   Series A</v>
      </c>
      <c r="B224" s="70">
        <f>MAX(0,(Investment!B300+Investment!B239)*Boneyard!F29)</f>
        <v>0</v>
      </c>
      <c r="C224" s="70">
        <f>MAX(0,(Investment!C300+Investment!C239)*Boneyard!F29)</f>
        <v>0</v>
      </c>
      <c r="D224" s="70">
        <f>MAX(0,(Investment!D300+Investment!D239)*Boneyard!F29)</f>
        <v>0</v>
      </c>
      <c r="E224" s="30">
        <f>SUM(B224:D224)</f>
        <v>0</v>
      </c>
    </row>
    <row r="225" spans="1:5" ht="12.75" customHeight="1" x14ac:dyDescent="0.2">
      <c r="A225" s="73" t="str">
        <f>"   "&amp;Labels!C110</f>
        <v xml:space="preserve">   Subtotal</v>
      </c>
      <c r="B225" s="74">
        <f>SUM(B223:B224)</f>
        <v>0</v>
      </c>
      <c r="C225" s="74">
        <f>SUM(C223:C224)</f>
        <v>0</v>
      </c>
      <c r="D225" s="74">
        <f>SUM(D223:D224)</f>
        <v>0</v>
      </c>
      <c r="E225" s="30">
        <f>SUM(B225:D225)</f>
        <v>0</v>
      </c>
    </row>
    <row r="226" spans="1:5" ht="12.75" customHeight="1" x14ac:dyDescent="0.2">
      <c r="A226" s="4" t="str">
        <f>Labels!C102</f>
        <v>Total</v>
      </c>
      <c r="B226" s="77">
        <f>SUM(B216,B219:B221,B225)</f>
        <v>0</v>
      </c>
      <c r="C226" s="77">
        <f>SUM(C216,C219:C221,C225)</f>
        <v>0</v>
      </c>
      <c r="D226" s="77">
        <f>SUM(D216,D219:D221,D225)</f>
        <v>0</v>
      </c>
      <c r="E226" s="47">
        <f>SUM(B226:D226)</f>
        <v>0</v>
      </c>
    </row>
    <row r="227" spans="1:5" ht="12.75" customHeight="1" x14ac:dyDescent="0.2">
      <c r="A227" s="1" t="str">
        <f>Labels!B42</f>
        <v>New Investment</v>
      </c>
    </row>
    <row r="228" spans="1:5" ht="12.75" customHeight="1" x14ac:dyDescent="0.2">
      <c r="B228" s="6" t="str">
        <f>Labels!B98</f>
        <v>Seed</v>
      </c>
      <c r="C228" s="7" t="str">
        <f>Labels!B99</f>
        <v>Round A</v>
      </c>
      <c r="D228" s="7" t="str">
        <f>Labels!B100</f>
        <v>Exit</v>
      </c>
      <c r="E228" s="25" t="str">
        <f>Labels!C97</f>
        <v>Total</v>
      </c>
    </row>
    <row r="229" spans="1:5" ht="12.75" customHeight="1" x14ac:dyDescent="0.2">
      <c r="A229" s="11" t="str">
        <f>Labels!B103</f>
        <v>Conv Note</v>
      </c>
      <c r="B229" s="26"/>
      <c r="C229" s="26"/>
      <c r="D229" s="26"/>
      <c r="E229" s="27"/>
    </row>
    <row r="230" spans="1:5" ht="12.75" customHeight="1" x14ac:dyDescent="0.2">
      <c r="A230" s="28" t="str">
        <f>"   "&amp;Labels!B104</f>
        <v xml:space="preserve">   Series B</v>
      </c>
      <c r="B230" s="70">
        <f>Inputs!B38</f>
        <v>0</v>
      </c>
      <c r="C230" s="70">
        <f>Inputs!C38</f>
        <v>0</v>
      </c>
      <c r="D230" s="70">
        <f>Inputs!D38</f>
        <v>0</v>
      </c>
      <c r="E230" s="30">
        <f>SUM(B230:D230)</f>
        <v>0</v>
      </c>
    </row>
    <row r="231" spans="1:5" ht="12.75" customHeight="1" x14ac:dyDescent="0.2">
      <c r="A231" s="28" t="str">
        <f>"   "&amp;Labels!B105</f>
        <v xml:space="preserve">   Series A</v>
      </c>
      <c r="B231" s="70">
        <f>Inputs!B39</f>
        <v>0</v>
      </c>
      <c r="C231" s="70">
        <f>Inputs!C39</f>
        <v>0</v>
      </c>
      <c r="D231" s="70">
        <f>Inputs!D39</f>
        <v>0</v>
      </c>
      <c r="E231" s="30">
        <f>SUM(B231:D231)</f>
        <v>0</v>
      </c>
    </row>
    <row r="232" spans="1:5" ht="12.75" customHeight="1" x14ac:dyDescent="0.2">
      <c r="A232" s="73" t="str">
        <f>"   "&amp;Labels!C103</f>
        <v xml:space="preserve">   Subtotal</v>
      </c>
      <c r="B232" s="74">
        <f>SUM(B230:B231)</f>
        <v>0</v>
      </c>
      <c r="C232" s="74">
        <f>SUM(C230:C231)</f>
        <v>0</v>
      </c>
      <c r="D232" s="74">
        <f>SUM(D230:D231)</f>
        <v>0</v>
      </c>
      <c r="E232" s="30">
        <f>SUM(E230:E231)</f>
        <v>0</v>
      </c>
    </row>
    <row r="233" spans="1:5" ht="12.75" customHeight="1" x14ac:dyDescent="0.2">
      <c r="A233" s="73" t="str">
        <f>Labels!B106</f>
        <v>Preferred</v>
      </c>
      <c r="B233" s="74"/>
      <c r="C233" s="74"/>
      <c r="D233" s="74"/>
      <c r="E233" s="30"/>
    </row>
    <row r="234" spans="1:5" ht="12.75" customHeight="1" x14ac:dyDescent="0.2">
      <c r="A234" s="28" t="str">
        <f>"   "&amp;Labels!B107</f>
        <v xml:space="preserve">   Series A</v>
      </c>
      <c r="B234" s="70">
        <f>Inputs!B65</f>
        <v>0</v>
      </c>
      <c r="C234" s="70">
        <f>Inputs!C65</f>
        <v>0</v>
      </c>
      <c r="D234" s="70">
        <f>Inputs!D65</f>
        <v>0</v>
      </c>
      <c r="E234" s="30">
        <f>SUM(B234:D234)</f>
        <v>0</v>
      </c>
    </row>
    <row r="235" spans="1:5" ht="12.75" customHeight="1" x14ac:dyDescent="0.2">
      <c r="A235" s="73" t="str">
        <f>"   "&amp;Labels!C106</f>
        <v xml:space="preserve">   Subtotal</v>
      </c>
      <c r="B235" s="74">
        <f>B234</f>
        <v>0</v>
      </c>
      <c r="C235" s="74">
        <f>C234</f>
        <v>0</v>
      </c>
      <c r="D235" s="74">
        <f>D234</f>
        <v>0</v>
      </c>
      <c r="E235" s="30">
        <f>E234</f>
        <v>0</v>
      </c>
    </row>
    <row r="236" spans="1:5" ht="12.75" customHeight="1" x14ac:dyDescent="0.2">
      <c r="A236" s="73" t="str">
        <f>Labels!B108</f>
        <v>Common</v>
      </c>
      <c r="B236" s="74">
        <f>Inputs!B83</f>
        <v>1</v>
      </c>
      <c r="C236" s="74">
        <f>Inputs!C83</f>
        <v>0</v>
      </c>
      <c r="D236" s="74">
        <f>Inputs!D83</f>
        <v>0</v>
      </c>
      <c r="E236" s="30">
        <f>SUM(B236:D236)</f>
        <v>1</v>
      </c>
    </row>
    <row r="237" spans="1:5" ht="12.75" customHeight="1" x14ac:dyDescent="0.2">
      <c r="A237" s="73" t="str">
        <f>Labels!B109</f>
        <v>Warrant</v>
      </c>
      <c r="B237" s="74">
        <f>Boneyard!B54</f>
        <v>0</v>
      </c>
      <c r="C237" s="74">
        <f>Boneyard!C54</f>
        <v>0</v>
      </c>
      <c r="D237" s="74">
        <f>Boneyard!D54</f>
        <v>0</v>
      </c>
      <c r="E237" s="30">
        <f>SUM(B237:D237)</f>
        <v>0</v>
      </c>
    </row>
    <row r="238" spans="1:5" ht="12.75" customHeight="1" x14ac:dyDescent="0.2">
      <c r="A238" s="73" t="str">
        <f>Labels!B110</f>
        <v>Option</v>
      </c>
      <c r="B238" s="74"/>
      <c r="C238" s="74"/>
      <c r="D238" s="74"/>
      <c r="E238" s="30"/>
    </row>
    <row r="239" spans="1:5" ht="12.75" customHeight="1" x14ac:dyDescent="0.2">
      <c r="A239" s="28" t="str">
        <f>"   "&amp;Labels!B111</f>
        <v xml:space="preserve">   Series B</v>
      </c>
      <c r="B239" s="70">
        <f>Boneyard!B56</f>
        <v>0</v>
      </c>
      <c r="C239" s="70">
        <f>Boneyard!C56</f>
        <v>0</v>
      </c>
      <c r="D239" s="70">
        <f>Boneyard!D56</f>
        <v>0</v>
      </c>
      <c r="E239" s="30">
        <f>SUM(B239:D239)</f>
        <v>0</v>
      </c>
    </row>
    <row r="240" spans="1:5" ht="12.75" customHeight="1" x14ac:dyDescent="0.2">
      <c r="A240" s="28" t="str">
        <f>"   "&amp;Labels!B112</f>
        <v xml:space="preserve">   Series A</v>
      </c>
      <c r="B240" s="70">
        <f>Boneyard!B57</f>
        <v>0</v>
      </c>
      <c r="C240" s="70">
        <f>Boneyard!C57</f>
        <v>0</v>
      </c>
      <c r="D240" s="70">
        <f>Boneyard!D57</f>
        <v>0</v>
      </c>
      <c r="E240" s="30">
        <f>SUM(B240:D240)</f>
        <v>0</v>
      </c>
    </row>
    <row r="241" spans="1:5" ht="12.75" customHeight="1" x14ac:dyDescent="0.2">
      <c r="A241" s="73" t="str">
        <f>"   "&amp;Labels!C110</f>
        <v xml:space="preserve">   Subtotal</v>
      </c>
      <c r="B241" s="74">
        <f>SUM(B239:B240)</f>
        <v>0</v>
      </c>
      <c r="C241" s="74">
        <f>SUM(C239:C240)</f>
        <v>0</v>
      </c>
      <c r="D241" s="74">
        <f>SUM(D239:D240)</f>
        <v>0</v>
      </c>
      <c r="E241" s="30">
        <f>SUM(E239:E240)</f>
        <v>0</v>
      </c>
    </row>
    <row r="242" spans="1:5" ht="12.75" customHeight="1" x14ac:dyDescent="0.2">
      <c r="A242" s="4" t="str">
        <f>Labels!C102</f>
        <v>Total</v>
      </c>
      <c r="B242" s="77">
        <f>SUM(B232,B235:B237,B241)</f>
        <v>1</v>
      </c>
      <c r="C242" s="77">
        <f>SUM(C232,C235:C237,C241)</f>
        <v>0</v>
      </c>
      <c r="D242" s="77">
        <f>SUM(D232,D235:D237,D241)</f>
        <v>0</v>
      </c>
      <c r="E242" s="47">
        <f>SUM(E232,E235:E237,E241)</f>
        <v>1</v>
      </c>
    </row>
    <row r="243" spans="1:5" ht="12.75" customHeight="1" x14ac:dyDescent="0.2">
      <c r="A243" s="1" t="str">
        <f>Labels!B16</f>
        <v>Dividend by Origin</v>
      </c>
    </row>
    <row r="244" spans="1:5" ht="12.75" customHeight="1" x14ac:dyDescent="0.2">
      <c r="B244" s="6" t="str">
        <f>Labels!B98</f>
        <v>Seed</v>
      </c>
      <c r="C244" s="7" t="str">
        <f>Labels!B99</f>
        <v>Round A</v>
      </c>
      <c r="D244" s="7" t="str">
        <f>Labels!B100</f>
        <v>Exit</v>
      </c>
      <c r="E244" s="25" t="str">
        <f>Labels!C97</f>
        <v>Total</v>
      </c>
    </row>
    <row r="245" spans="1:5" ht="12.75" customHeight="1" x14ac:dyDescent="0.2">
      <c r="A245" s="11" t="str">
        <f>Labels!B103</f>
        <v>Conv Note</v>
      </c>
      <c r="B245" s="26"/>
      <c r="C245" s="26"/>
      <c r="D245" s="26"/>
      <c r="E245" s="27"/>
    </row>
    <row r="246" spans="1:5" ht="12.75" customHeight="1" x14ac:dyDescent="0.2">
      <c r="A246" s="28" t="str">
        <f>"   "&amp;Labels!B104</f>
        <v xml:space="preserve">   Series B</v>
      </c>
      <c r="B246" s="70">
        <f>Inputs!D23*0*(Investment!B209-Investment!B209)/365+Inputs!B76*0</f>
        <v>0</v>
      </c>
      <c r="C246" s="70">
        <f>Inputs!D23*Investment!B274*(Investment!C209-Investment!B209)/365+Inputs!C76*B262/Shares!B36</f>
        <v>0</v>
      </c>
      <c r="D246" s="70">
        <f>Inputs!D23*Investment!C274*(Investment!D209-Investment!C209)/365+Inputs!D76*C262/Shares!C36</f>
        <v>0</v>
      </c>
      <c r="E246" s="30">
        <f>SUM(B246:D246)</f>
        <v>0</v>
      </c>
    </row>
    <row r="247" spans="1:5" ht="12.75" customHeight="1" x14ac:dyDescent="0.2">
      <c r="A247" s="28" t="str">
        <f>"   "&amp;Labels!B105</f>
        <v xml:space="preserve">   Series A</v>
      </c>
      <c r="B247" s="70">
        <f>Inputs!D24*0*(Investment!B209-Investment!B209)/365+Inputs!B76*0</f>
        <v>0</v>
      </c>
      <c r="C247" s="70">
        <f>Inputs!D24*Investment!B275*(Investment!C209-Investment!B209)/365+Inputs!C76*B263/Shares!B36</f>
        <v>0</v>
      </c>
      <c r="D247" s="70">
        <f>Inputs!D24*Investment!C275*(Investment!D209-Investment!C209)/365+Inputs!D76*C263/Shares!C36</f>
        <v>0</v>
      </c>
      <c r="E247" s="30">
        <f>SUM(B247:D247)</f>
        <v>0</v>
      </c>
    </row>
    <row r="248" spans="1:5" ht="12.75" customHeight="1" x14ac:dyDescent="0.2">
      <c r="A248" s="73" t="str">
        <f>"   "&amp;Labels!C103</f>
        <v xml:space="preserve">   Subtotal</v>
      </c>
      <c r="B248" s="74">
        <f>SUM(B246:B247)</f>
        <v>0</v>
      </c>
      <c r="C248" s="74">
        <f>SUM(C246:C247)</f>
        <v>0</v>
      </c>
      <c r="D248" s="74">
        <f>SUM(D246:D247)</f>
        <v>0</v>
      </c>
      <c r="E248" s="30">
        <f>SUM(B248:D248)</f>
        <v>0</v>
      </c>
    </row>
    <row r="249" spans="1:5" ht="12.75" customHeight="1" x14ac:dyDescent="0.2">
      <c r="A249" s="73" t="str">
        <f>Labels!B106</f>
        <v>Preferred</v>
      </c>
      <c r="B249" s="74"/>
      <c r="C249" s="74"/>
      <c r="D249" s="74"/>
      <c r="E249" s="30"/>
    </row>
    <row r="250" spans="1:5" ht="12.75" customHeight="1" x14ac:dyDescent="0.2">
      <c r="A250" s="28" t="str">
        <f>"   "&amp;Labels!B107</f>
        <v xml:space="preserve">   Series A</v>
      </c>
      <c r="B250" s="70">
        <f>Inputs!C53*0*(Investment!B209-Investment!B209)/365+Inputs!B76*0</f>
        <v>0</v>
      </c>
      <c r="C250" s="70">
        <f>Inputs!C53*Investment!B278*(Investment!C209-Investment!B209)/365+Inputs!C76*B265/Shares!B36</f>
        <v>0</v>
      </c>
      <c r="D250" s="70">
        <f>Inputs!C53*Investment!C278*(Investment!D209-Investment!C209)/365+Inputs!D76*C265/Shares!C36</f>
        <v>0</v>
      </c>
      <c r="E250" s="30">
        <f>SUM(B250:D250)</f>
        <v>0</v>
      </c>
    </row>
    <row r="251" spans="1:5" ht="12.75" customHeight="1" x14ac:dyDescent="0.2">
      <c r="A251" s="73" t="str">
        <f>"   "&amp;Labels!C106</f>
        <v xml:space="preserve">   Subtotal</v>
      </c>
      <c r="B251" s="74">
        <f>B250</f>
        <v>0</v>
      </c>
      <c r="C251" s="74">
        <f>C250</f>
        <v>0</v>
      </c>
      <c r="D251" s="74">
        <f>D250</f>
        <v>0</v>
      </c>
      <c r="E251" s="30">
        <f>SUM(B251:D251)</f>
        <v>0</v>
      </c>
    </row>
    <row r="252" spans="1:5" ht="12.75" customHeight="1" x14ac:dyDescent="0.2">
      <c r="A252" s="73" t="str">
        <f>Labels!B108</f>
        <v>Common</v>
      </c>
      <c r="B252" s="74">
        <f>Inputs!B76*0</f>
        <v>0</v>
      </c>
      <c r="C252" s="74">
        <f>Inputs!C76*B266/Shares!B36</f>
        <v>0</v>
      </c>
      <c r="D252" s="74">
        <f>Inputs!D76*C266/Shares!C36</f>
        <v>0</v>
      </c>
      <c r="E252" s="30">
        <f>SUM(B252:D252)</f>
        <v>0</v>
      </c>
    </row>
    <row r="253" spans="1:5" ht="12.75" customHeight="1" x14ac:dyDescent="0.2">
      <c r="A253" s="73" t="str">
        <f>Labels!B109</f>
        <v>Warrant</v>
      </c>
      <c r="B253" s="74">
        <f>Boneyard!B26*0*(Investment!B209-Investment!B209)/365+Inputs!B76*0</f>
        <v>0</v>
      </c>
      <c r="C253" s="74">
        <f>Boneyard!B26*Investment!B281*(Investment!C209-Investment!B209)/365+Inputs!C76*B267/Shares!B36</f>
        <v>0</v>
      </c>
      <c r="D253" s="74">
        <f>Boneyard!B26*Investment!C281*(Investment!D209-Investment!C209)/365+Inputs!D76*C267/Shares!C36</f>
        <v>0</v>
      </c>
      <c r="E253" s="30">
        <f>SUM(B253:D253)</f>
        <v>0</v>
      </c>
    </row>
    <row r="254" spans="1:5" ht="12.75" customHeight="1" x14ac:dyDescent="0.2">
      <c r="A254" s="73" t="str">
        <f>Labels!B110</f>
        <v>Option</v>
      </c>
      <c r="B254" s="74"/>
      <c r="C254" s="74"/>
      <c r="D254" s="74"/>
      <c r="E254" s="30"/>
    </row>
    <row r="255" spans="1:5" ht="12.75" customHeight="1" x14ac:dyDescent="0.2">
      <c r="A255" s="28" t="str">
        <f>"   "&amp;Labels!B111</f>
        <v xml:space="preserve">   Series B</v>
      </c>
      <c r="B255" s="70">
        <f>Boneyard!B28*0*(Investment!B209-Investment!B209)/365+Inputs!B76*0</f>
        <v>0</v>
      </c>
      <c r="C255" s="70">
        <f>Boneyard!B28*Investment!B283*(Investment!C209-Investment!B209)/365+Inputs!C76*B269/Shares!B36</f>
        <v>0</v>
      </c>
      <c r="D255" s="70">
        <f>Boneyard!B28*Investment!C283*(Investment!D209-Investment!C209)/365+Inputs!D76*C269/Shares!C36</f>
        <v>0</v>
      </c>
      <c r="E255" s="30">
        <f>SUM(B255:D255)</f>
        <v>0</v>
      </c>
    </row>
    <row r="256" spans="1:5" ht="12.75" customHeight="1" x14ac:dyDescent="0.2">
      <c r="A256" s="28" t="str">
        <f>"   "&amp;Labels!B112</f>
        <v xml:space="preserve">   Series A</v>
      </c>
      <c r="B256" s="70">
        <f>Boneyard!B29*0*(Investment!B209-Investment!B209)/365+Inputs!B76*0</f>
        <v>0</v>
      </c>
      <c r="C256" s="70">
        <f>Boneyard!B29*Investment!B284*(Investment!C209-Investment!B209)/365+Inputs!C76*B270/Shares!B36</f>
        <v>0</v>
      </c>
      <c r="D256" s="70">
        <f>Boneyard!B29*Investment!C284*(Investment!D209-Investment!C209)/365+Inputs!D76*C270/Shares!C36</f>
        <v>0</v>
      </c>
      <c r="E256" s="30">
        <f>SUM(B256:D256)</f>
        <v>0</v>
      </c>
    </row>
    <row r="257" spans="1:5" ht="12.75" customHeight="1" x14ac:dyDescent="0.2">
      <c r="A257" s="73" t="str">
        <f>"   "&amp;Labels!C110</f>
        <v xml:space="preserve">   Subtotal</v>
      </c>
      <c r="B257" s="74">
        <f>SUM(B255:B256)</f>
        <v>0</v>
      </c>
      <c r="C257" s="74">
        <f>SUM(C255:C256)</f>
        <v>0</v>
      </c>
      <c r="D257" s="74">
        <f>SUM(D255:D256)</f>
        <v>0</v>
      </c>
      <c r="E257" s="30">
        <f>SUM(B257:D257)</f>
        <v>0</v>
      </c>
    </row>
    <row r="258" spans="1:5" ht="12.75" customHeight="1" x14ac:dyDescent="0.2">
      <c r="A258" s="4" t="str">
        <f>Labels!C102</f>
        <v>Total</v>
      </c>
      <c r="B258" s="77">
        <f>SUM(B248,B251:B253,B257)</f>
        <v>0</v>
      </c>
      <c r="C258" s="77">
        <f>SUM(C248,C251:C253,C257)</f>
        <v>0</v>
      </c>
      <c r="D258" s="77">
        <f>SUM(D248,D251:D253,D257)</f>
        <v>0</v>
      </c>
      <c r="E258" s="47">
        <f>SUM(B258:D258)</f>
        <v>0</v>
      </c>
    </row>
    <row r="259" spans="1:5" ht="12.75" customHeight="1" x14ac:dyDescent="0.2">
      <c r="A259" s="1" t="str">
        <f>Labels!B76</f>
        <v>Common Shares by Origin</v>
      </c>
    </row>
    <row r="260" spans="1:5" ht="12.75" customHeight="1" x14ac:dyDescent="0.2">
      <c r="B260" s="6" t="str">
        <f>Labels!B98</f>
        <v>Seed</v>
      </c>
      <c r="C260" s="7" t="str">
        <f>Labels!B99</f>
        <v>Round A</v>
      </c>
      <c r="D260" s="8" t="str">
        <f>Labels!B100</f>
        <v>Exit</v>
      </c>
    </row>
    <row r="261" spans="1:5" ht="12.75" customHeight="1" x14ac:dyDescent="0.2">
      <c r="A261" s="11" t="str">
        <f>Labels!B103</f>
        <v>Conv Note</v>
      </c>
      <c r="B261" s="60"/>
      <c r="C261" s="60"/>
      <c r="D261" s="96"/>
    </row>
    <row r="262" spans="1:5" ht="12.75" customHeight="1" x14ac:dyDescent="0.2">
      <c r="A262" s="28" t="str">
        <f>"   "&amp;Labels!B104</f>
        <v xml:space="preserve">   Series B</v>
      </c>
      <c r="B262" s="97">
        <f>Shares!B14</f>
        <v>0</v>
      </c>
      <c r="C262" s="97">
        <f>Shares!C14</f>
        <v>0</v>
      </c>
      <c r="D262" s="98">
        <f>Shares!D14</f>
        <v>0</v>
      </c>
    </row>
    <row r="263" spans="1:5" ht="12.75" customHeight="1" x14ac:dyDescent="0.2">
      <c r="A263" s="28" t="str">
        <f>"   "&amp;Labels!B105</f>
        <v xml:space="preserve">   Series A</v>
      </c>
      <c r="B263" s="97">
        <f>Shares!B15</f>
        <v>0</v>
      </c>
      <c r="C263" s="97">
        <f>Shares!C15</f>
        <v>0</v>
      </c>
      <c r="D263" s="98">
        <f>Shares!D15</f>
        <v>0</v>
      </c>
    </row>
    <row r="264" spans="1:5" ht="12.75" customHeight="1" x14ac:dyDescent="0.2">
      <c r="A264" s="73" t="str">
        <f>Labels!B106</f>
        <v>Preferred</v>
      </c>
      <c r="B264" s="138"/>
      <c r="C264" s="138"/>
      <c r="D264" s="206"/>
    </row>
    <row r="265" spans="1:5" ht="12.75" customHeight="1" x14ac:dyDescent="0.2">
      <c r="A265" s="28" t="str">
        <f>"   "&amp;Labels!B107</f>
        <v xml:space="preserve">   Series A</v>
      </c>
      <c r="B265" s="97">
        <f>Shares!B17</f>
        <v>0</v>
      </c>
      <c r="C265" s="97">
        <f>Shares!C17</f>
        <v>0</v>
      </c>
      <c r="D265" s="98">
        <f>Shares!D17</f>
        <v>0</v>
      </c>
    </row>
    <row r="266" spans="1:5" ht="12.75" customHeight="1" x14ac:dyDescent="0.2">
      <c r="A266" s="73" t="str">
        <f>Labels!B108</f>
        <v>Common</v>
      </c>
      <c r="B266" s="138">
        <f>Shares!B18</f>
        <v>1</v>
      </c>
      <c r="C266" s="138">
        <f>Shares!C18</f>
        <v>1</v>
      </c>
      <c r="D266" s="206">
        <f>Shares!D18</f>
        <v>1</v>
      </c>
    </row>
    <row r="267" spans="1:5" ht="12.75" customHeight="1" x14ac:dyDescent="0.2">
      <c r="A267" s="73" t="str">
        <f>Labels!B109</f>
        <v>Warrant</v>
      </c>
      <c r="B267" s="138">
        <f>Shares!B19</f>
        <v>0</v>
      </c>
      <c r="C267" s="138">
        <f>Shares!C19</f>
        <v>0</v>
      </c>
      <c r="D267" s="206">
        <f>Shares!D19</f>
        <v>0</v>
      </c>
    </row>
    <row r="268" spans="1:5" ht="12.75" customHeight="1" x14ac:dyDescent="0.2">
      <c r="A268" s="73" t="str">
        <f>Labels!B110</f>
        <v>Option</v>
      </c>
      <c r="B268" s="138"/>
      <c r="C268" s="138"/>
      <c r="D268" s="206"/>
    </row>
    <row r="269" spans="1:5" ht="12.75" customHeight="1" x14ac:dyDescent="0.2">
      <c r="A269" s="28" t="str">
        <f>"   "&amp;Labels!B111</f>
        <v xml:space="preserve">   Series B</v>
      </c>
      <c r="B269" s="97">
        <f>Shares!B21</f>
        <v>0</v>
      </c>
      <c r="C269" s="97">
        <f>Shares!C21</f>
        <v>0</v>
      </c>
      <c r="D269" s="98">
        <f>Shares!D21</f>
        <v>0</v>
      </c>
    </row>
    <row r="270" spans="1:5" ht="12.75" customHeight="1" x14ac:dyDescent="0.2">
      <c r="A270" s="35" t="str">
        <f>"   "&amp;Labels!B112</f>
        <v xml:space="preserve">   Series A</v>
      </c>
      <c r="B270" s="105">
        <f>Shares!B22</f>
        <v>0</v>
      </c>
      <c r="C270" s="105">
        <f>Shares!C22</f>
        <v>0</v>
      </c>
      <c r="D270" s="207">
        <f>Shares!D22</f>
        <v>0</v>
      </c>
    </row>
    <row r="271" spans="1:5" ht="12.75" customHeight="1" x14ac:dyDescent="0.2">
      <c r="A271" s="1" t="str">
        <f>Labels!B55</f>
        <v>Payout by Origin</v>
      </c>
    </row>
    <row r="272" spans="1:5" ht="12.75" customHeight="1" x14ac:dyDescent="0.2">
      <c r="B272" s="6" t="str">
        <f>Labels!B98</f>
        <v>Seed</v>
      </c>
      <c r="C272" s="7" t="str">
        <f>Labels!B99</f>
        <v>Round A</v>
      </c>
      <c r="D272" s="7" t="str">
        <f>Labels!B100</f>
        <v>Exit</v>
      </c>
      <c r="E272" s="25" t="str">
        <f>Labels!C97</f>
        <v>Total</v>
      </c>
    </row>
    <row r="273" spans="1:5" ht="12.75" customHeight="1" x14ac:dyDescent="0.2">
      <c r="A273" s="11" t="str">
        <f>Labels!B103</f>
        <v>Conv Note</v>
      </c>
      <c r="B273" s="26"/>
      <c r="C273" s="26"/>
      <c r="D273" s="26"/>
      <c r="E273" s="27"/>
    </row>
    <row r="274" spans="1:5" ht="12.75" customHeight="1" x14ac:dyDescent="0.2">
      <c r="A274" s="28" t="str">
        <f>"   "&amp;Labels!B104</f>
        <v xml:space="preserve">   Series B</v>
      </c>
      <c r="B274" s="70">
        <f>Payout!B43+IF(Shares!B36=0,0,B262/Shares!B36*Payout!B49)</f>
        <v>0</v>
      </c>
      <c r="C274" s="70">
        <f>Payout!C43+IF(Shares!C36=0,0,C262/Shares!C36*Payout!C49)</f>
        <v>0</v>
      </c>
      <c r="D274" s="70">
        <f>Payout!D43+IF(Shares!D36=0,0,D262/Shares!D36*Payout!D49)</f>
        <v>0</v>
      </c>
      <c r="E274" s="30" t="str">
        <f>""</f>
        <v/>
      </c>
    </row>
    <row r="275" spans="1:5" ht="12.75" customHeight="1" x14ac:dyDescent="0.2">
      <c r="A275" s="28" t="str">
        <f>"   "&amp;Labels!B105</f>
        <v xml:space="preserve">   Series A</v>
      </c>
      <c r="B275" s="70">
        <f>Payout!B44+IF(Shares!B36=0,0,B263/Shares!B36*Payout!B49)</f>
        <v>0</v>
      </c>
      <c r="C275" s="70">
        <f>Payout!C44+IF(Shares!C36=0,0,C263/Shares!C36*Payout!C49)</f>
        <v>0</v>
      </c>
      <c r="D275" s="70">
        <f>Payout!D44+IF(Shares!D36=0,0,D263/Shares!D36*Payout!D49)</f>
        <v>0</v>
      </c>
      <c r="E275" s="30" t="str">
        <f>""</f>
        <v/>
      </c>
    </row>
    <row r="276" spans="1:5" ht="12.75" customHeight="1" x14ac:dyDescent="0.2">
      <c r="A276" s="73" t="str">
        <f>"   "&amp;Labels!C103</f>
        <v xml:space="preserve">   Subtotal</v>
      </c>
      <c r="B276" s="74">
        <f>SUM(B274:B275)</f>
        <v>0</v>
      </c>
      <c r="C276" s="74">
        <f>SUM(C274:C275)</f>
        <v>0</v>
      </c>
      <c r="D276" s="74">
        <f>SUM(D274:D275)</f>
        <v>0</v>
      </c>
      <c r="E276" s="30" t="str">
        <f>""</f>
        <v/>
      </c>
    </row>
    <row r="277" spans="1:5" ht="12.75" customHeight="1" x14ac:dyDescent="0.2">
      <c r="A277" s="73" t="str">
        <f>Labels!B106</f>
        <v>Preferred</v>
      </c>
      <c r="B277" s="74"/>
      <c r="C277" s="74"/>
      <c r="D277" s="74"/>
      <c r="E277" s="30"/>
    </row>
    <row r="278" spans="1:5" ht="12.75" customHeight="1" x14ac:dyDescent="0.2">
      <c r="A278" s="28" t="str">
        <f>"   "&amp;Labels!B107</f>
        <v xml:space="preserve">   Series A</v>
      </c>
      <c r="B278" s="70">
        <f>Payout!B47+IF(Shares!B36=0,0,B265/Shares!B36*Payout!B49)</f>
        <v>0</v>
      </c>
      <c r="C278" s="70">
        <f>Payout!C47+IF(Shares!C36=0,0,C265/Shares!C36*Payout!C49)</f>
        <v>0</v>
      </c>
      <c r="D278" s="70">
        <f>Payout!D47+IF(Shares!D36=0,0,D265/Shares!D36*Payout!D49)</f>
        <v>0</v>
      </c>
      <c r="E278" s="30" t="str">
        <f>""</f>
        <v/>
      </c>
    </row>
    <row r="279" spans="1:5" ht="12.75" customHeight="1" x14ac:dyDescent="0.2">
      <c r="A279" s="73" t="str">
        <f>"   "&amp;Labels!C106</f>
        <v xml:space="preserve">   Subtotal</v>
      </c>
      <c r="B279" s="74">
        <f>SUM(B278)</f>
        <v>0</v>
      </c>
      <c r="C279" s="74">
        <f>SUM(C278)</f>
        <v>0</v>
      </c>
      <c r="D279" s="74">
        <f>SUM(D278)</f>
        <v>0</v>
      </c>
      <c r="E279" s="30" t="str">
        <f>""</f>
        <v/>
      </c>
    </row>
    <row r="280" spans="1:5" ht="12.75" customHeight="1" x14ac:dyDescent="0.2">
      <c r="A280" s="73" t="str">
        <f>Labels!B108</f>
        <v>Common</v>
      </c>
      <c r="B280" s="74">
        <f>IF(Shares!B36=0,0,B266/Shares!B36*Payout!B49)</f>
        <v>1000001</v>
      </c>
      <c r="C280" s="74">
        <f>IF(Shares!C36=0,0,C266/Shares!C36*Payout!C49)</f>
        <v>1000000</v>
      </c>
      <c r="D280" s="74">
        <f>IF(Shares!D36=0,0,D266/Shares!D36*Payout!D49)</f>
        <v>1000000</v>
      </c>
      <c r="E280" s="30" t="str">
        <f>""</f>
        <v/>
      </c>
    </row>
    <row r="281" spans="1:5" ht="12.75" customHeight="1" x14ac:dyDescent="0.2">
      <c r="A281" s="73" t="str">
        <f>Labels!B109</f>
        <v>Warrant</v>
      </c>
      <c r="B281" s="74">
        <f>Payout!B50+IF(Shares!B36=0,0,B267/Shares!B36*Payout!B49)</f>
        <v>0</v>
      </c>
      <c r="C281" s="74">
        <f>Payout!C50+IF(Shares!C36=0,0,C267/Shares!C36*Payout!C49)</f>
        <v>0</v>
      </c>
      <c r="D281" s="74">
        <f>Payout!D50+IF(Shares!D36=0,0,D267/Shares!D36*Payout!D49)</f>
        <v>0</v>
      </c>
      <c r="E281" s="30" t="str">
        <f>""</f>
        <v/>
      </c>
    </row>
    <row r="282" spans="1:5" ht="12.75" customHeight="1" x14ac:dyDescent="0.2">
      <c r="A282" s="73" t="str">
        <f>Labels!B110</f>
        <v>Option</v>
      </c>
      <c r="B282" s="74"/>
      <c r="C282" s="74"/>
      <c r="D282" s="74"/>
      <c r="E282" s="30"/>
    </row>
    <row r="283" spans="1:5" ht="12.75" customHeight="1" x14ac:dyDescent="0.2">
      <c r="A283" s="28" t="str">
        <f>"   "&amp;Labels!B111</f>
        <v xml:space="preserve">   Series B</v>
      </c>
      <c r="B283" s="70">
        <f>Payout!B52+IF(Shares!B36=0,0,B269/Shares!B36*Payout!B49)</f>
        <v>0</v>
      </c>
      <c r="C283" s="70">
        <f>Payout!C52+IF(Shares!C36=0,0,C269/Shares!C36*Payout!C49)</f>
        <v>0</v>
      </c>
      <c r="D283" s="70">
        <f>Payout!D52+IF(Shares!D36=0,0,D269/Shares!D36*Payout!D49)</f>
        <v>0</v>
      </c>
      <c r="E283" s="30" t="str">
        <f>""</f>
        <v/>
      </c>
    </row>
    <row r="284" spans="1:5" ht="12.75" customHeight="1" x14ac:dyDescent="0.2">
      <c r="A284" s="28" t="str">
        <f>"   "&amp;Labels!B112</f>
        <v xml:space="preserve">   Series A</v>
      </c>
      <c r="B284" s="70">
        <f>Payout!B53+IF(Shares!B36=0,0,B270/Shares!B36*Payout!B49)</f>
        <v>0</v>
      </c>
      <c r="C284" s="70">
        <f>Payout!C53+IF(Shares!C36=0,0,C270/Shares!C36*Payout!C49)</f>
        <v>0</v>
      </c>
      <c r="D284" s="70">
        <f>Payout!D53+IF(Shares!D36=0,0,D270/Shares!D36*Payout!D49)</f>
        <v>0</v>
      </c>
      <c r="E284" s="30" t="str">
        <f>""</f>
        <v/>
      </c>
    </row>
    <row r="285" spans="1:5" ht="12.75" customHeight="1" x14ac:dyDescent="0.2">
      <c r="A285" s="73" t="str">
        <f>"   "&amp;Labels!C110</f>
        <v xml:space="preserve">   Subtotal</v>
      </c>
      <c r="B285" s="74">
        <f>SUM(B283:B284)</f>
        <v>0</v>
      </c>
      <c r="C285" s="74">
        <f>SUM(C283:C284)</f>
        <v>0</v>
      </c>
      <c r="D285" s="74">
        <f>SUM(D283:D284)</f>
        <v>0</v>
      </c>
      <c r="E285" s="30" t="str">
        <f>""</f>
        <v/>
      </c>
    </row>
    <row r="286" spans="1:5" ht="12.75" customHeight="1" x14ac:dyDescent="0.2">
      <c r="A286" s="4" t="str">
        <f>Labels!C102</f>
        <v>Total</v>
      </c>
      <c r="B286" s="77">
        <f>SUM(B276,B279:B281,B285)</f>
        <v>1000001</v>
      </c>
      <c r="C286" s="77">
        <f>SUM(C276,C279:C281,C285)</f>
        <v>1000000</v>
      </c>
      <c r="D286" s="77">
        <f>SUM(D276,D279:D281,D285)</f>
        <v>1000000</v>
      </c>
      <c r="E286" s="47" t="str">
        <f>""</f>
        <v/>
      </c>
    </row>
    <row r="287" spans="1:5" ht="12.75" customHeight="1" x14ac:dyDescent="0.2">
      <c r="A287" s="1" t="str">
        <f>Labels!B54</f>
        <v>Units 'in the Money'</v>
      </c>
    </row>
    <row r="288" spans="1:5" ht="12.75" customHeight="1" x14ac:dyDescent="0.2">
      <c r="B288" s="6" t="str">
        <f>Labels!B98</f>
        <v>Seed</v>
      </c>
      <c r="C288" s="7" t="str">
        <f>Labels!B99</f>
        <v>Round A</v>
      </c>
      <c r="D288" s="7" t="str">
        <f>Labels!B100</f>
        <v>Exit</v>
      </c>
      <c r="E288" s="25" t="str">
        <f>Labels!C97</f>
        <v>Total</v>
      </c>
    </row>
    <row r="289" spans="1:5" ht="12.75" customHeight="1" x14ac:dyDescent="0.2">
      <c r="A289" s="11" t="str">
        <f>Labels!B103</f>
        <v>Conv Note</v>
      </c>
      <c r="B289" s="60"/>
      <c r="C289" s="60"/>
      <c r="D289" s="60"/>
      <c r="E289" s="61"/>
    </row>
    <row r="290" spans="1:5" ht="12.75" customHeight="1" x14ac:dyDescent="0.2">
      <c r="A290" s="28" t="str">
        <f>"   "&amp;Labels!B104</f>
        <v xml:space="preserve">   Series B</v>
      </c>
      <c r="B290" s="97">
        <f t="shared" ref="B290:D291" si="2">0/3/10</f>
        <v>0</v>
      </c>
      <c r="C290" s="97">
        <f t="shared" si="2"/>
        <v>0</v>
      </c>
      <c r="D290" s="97">
        <f t="shared" si="2"/>
        <v>0</v>
      </c>
      <c r="E290" s="63">
        <f>SUM(B290:D290)</f>
        <v>0</v>
      </c>
    </row>
    <row r="291" spans="1:5" ht="12.75" customHeight="1" x14ac:dyDescent="0.2">
      <c r="A291" s="28" t="str">
        <f>"   "&amp;Labels!B105</f>
        <v xml:space="preserve">   Series A</v>
      </c>
      <c r="B291" s="97">
        <f t="shared" si="2"/>
        <v>0</v>
      </c>
      <c r="C291" s="97">
        <f t="shared" si="2"/>
        <v>0</v>
      </c>
      <c r="D291" s="97">
        <f t="shared" si="2"/>
        <v>0</v>
      </c>
      <c r="E291" s="63">
        <f>SUM(B291:D291)</f>
        <v>0</v>
      </c>
    </row>
    <row r="292" spans="1:5" ht="12.75" customHeight="1" x14ac:dyDescent="0.2">
      <c r="A292" s="73" t="str">
        <f>"   "&amp;Labels!C103</f>
        <v xml:space="preserve">   Subtotal</v>
      </c>
      <c r="B292" s="138">
        <f>SUM(B290:B291)</f>
        <v>0</v>
      </c>
      <c r="C292" s="138">
        <f>SUM(C290:C291)</f>
        <v>0</v>
      </c>
      <c r="D292" s="138">
        <f>SUM(D290:D291)</f>
        <v>0</v>
      </c>
      <c r="E292" s="63">
        <f>SUM(B292:D292)</f>
        <v>0</v>
      </c>
    </row>
    <row r="293" spans="1:5" ht="12.75" customHeight="1" x14ac:dyDescent="0.2">
      <c r="A293" s="73" t="str">
        <f>Labels!B106</f>
        <v>Preferred</v>
      </c>
      <c r="B293" s="138"/>
      <c r="C293" s="138"/>
      <c r="D293" s="138"/>
      <c r="E293" s="63"/>
    </row>
    <row r="294" spans="1:5" ht="12.75" customHeight="1" x14ac:dyDescent="0.2">
      <c r="A294" s="28" t="str">
        <f>"   "&amp;Labels!B107</f>
        <v xml:space="preserve">   Series A</v>
      </c>
      <c r="B294" s="97">
        <f>0/3/5</f>
        <v>0</v>
      </c>
      <c r="C294" s="97">
        <f>0/3/5</f>
        <v>0</v>
      </c>
      <c r="D294" s="97">
        <f>0/3/5</f>
        <v>0</v>
      </c>
      <c r="E294" s="63">
        <f>SUM(B294:D294)</f>
        <v>0</v>
      </c>
    </row>
    <row r="295" spans="1:5" ht="12.75" customHeight="1" x14ac:dyDescent="0.2">
      <c r="A295" s="73" t="str">
        <f>"   "&amp;Labels!C106</f>
        <v xml:space="preserve">   Subtotal</v>
      </c>
      <c r="B295" s="138">
        <f>B294</f>
        <v>0</v>
      </c>
      <c r="C295" s="138">
        <f>C294</f>
        <v>0</v>
      </c>
      <c r="D295" s="138">
        <f>D294</f>
        <v>0</v>
      </c>
      <c r="E295" s="63">
        <f>SUM(B295:D295)</f>
        <v>0</v>
      </c>
    </row>
    <row r="296" spans="1:5" ht="12.75" customHeight="1" x14ac:dyDescent="0.2">
      <c r="A296" s="73" t="str">
        <f>Labels!B108</f>
        <v>Common</v>
      </c>
      <c r="B296" s="138">
        <f>0/3/5</f>
        <v>0</v>
      </c>
      <c r="C296" s="138">
        <f>0/3/5</f>
        <v>0</v>
      </c>
      <c r="D296" s="138">
        <f>0/3/5</f>
        <v>0</v>
      </c>
      <c r="E296" s="63">
        <f>SUM(B296:D296)</f>
        <v>0</v>
      </c>
    </row>
    <row r="297" spans="1:5" ht="12.75" customHeight="1" x14ac:dyDescent="0.2">
      <c r="A297" s="73" t="str">
        <f>Labels!B109</f>
        <v>Warrant</v>
      </c>
      <c r="B297" s="138">
        <f>Options!B19</f>
        <v>0</v>
      </c>
      <c r="C297" s="138">
        <f>Options!C19</f>
        <v>0</v>
      </c>
      <c r="D297" s="138">
        <f>Options!D19</f>
        <v>0</v>
      </c>
      <c r="E297" s="63">
        <f>SUM(B297:D297)</f>
        <v>0</v>
      </c>
    </row>
    <row r="298" spans="1:5" ht="12.75" customHeight="1" x14ac:dyDescent="0.2">
      <c r="A298" s="73" t="str">
        <f>Labels!B110</f>
        <v>Option</v>
      </c>
      <c r="B298" s="138"/>
      <c r="C298" s="138"/>
      <c r="D298" s="138"/>
      <c r="E298" s="63"/>
    </row>
    <row r="299" spans="1:5" ht="12.75" customHeight="1" x14ac:dyDescent="0.2">
      <c r="A299" s="28" t="str">
        <f>"   "&amp;Labels!B111</f>
        <v xml:space="preserve">   Series B</v>
      </c>
      <c r="B299" s="97">
        <f>Options!B48</f>
        <v>0</v>
      </c>
      <c r="C299" s="97">
        <f>Options!C48</f>
        <v>0</v>
      </c>
      <c r="D299" s="97">
        <f>Options!D48</f>
        <v>0</v>
      </c>
      <c r="E299" s="63">
        <f>SUM(B299:D299)</f>
        <v>0</v>
      </c>
    </row>
    <row r="300" spans="1:5" ht="12.75" customHeight="1" x14ac:dyDescent="0.2">
      <c r="A300" s="28" t="str">
        <f>"   "&amp;Labels!B112</f>
        <v xml:space="preserve">   Series A</v>
      </c>
      <c r="B300" s="97">
        <f>Options!B49</f>
        <v>0</v>
      </c>
      <c r="C300" s="97">
        <f>Options!C49</f>
        <v>0</v>
      </c>
      <c r="D300" s="97">
        <f>Options!D49</f>
        <v>0</v>
      </c>
      <c r="E300" s="63">
        <f>SUM(B300:D300)</f>
        <v>0</v>
      </c>
    </row>
    <row r="301" spans="1:5" ht="12.75" customHeight="1" x14ac:dyDescent="0.2">
      <c r="A301" s="73" t="str">
        <f>"   "&amp;Labels!C110</f>
        <v xml:space="preserve">   Subtotal</v>
      </c>
      <c r="B301" s="138">
        <f>SUM(B299:B300)</f>
        <v>0</v>
      </c>
      <c r="C301" s="138">
        <f>SUM(C299:C300)</f>
        <v>0</v>
      </c>
      <c r="D301" s="138">
        <f>SUM(D299:D300)</f>
        <v>0</v>
      </c>
      <c r="E301" s="63">
        <f>SUM(E299:E300)</f>
        <v>0</v>
      </c>
    </row>
    <row r="302" spans="1:5" ht="12.75" customHeight="1" x14ac:dyDescent="0.2">
      <c r="A302" s="4" t="str">
        <f>Labels!C102</f>
        <v>Total</v>
      </c>
      <c r="B302" s="200">
        <f>SUM(B292,B295:B297,B301)</f>
        <v>0</v>
      </c>
      <c r="C302" s="200">
        <f>SUM(C292,C295:C297,C301)</f>
        <v>0</v>
      </c>
      <c r="D302" s="200">
        <f>SUM(D292,D295:D297,D301)</f>
        <v>0</v>
      </c>
      <c r="E302" s="201">
        <f>SUM(B302:D302)</f>
        <v>0</v>
      </c>
    </row>
    <row r="303" spans="1:5" ht="12.75" customHeight="1" x14ac:dyDescent="0.2">
      <c r="A303" s="1" t="str">
        <f>Labels!B57</f>
        <v>Payout by Origin %</v>
      </c>
    </row>
    <row r="304" spans="1:5" ht="12.75" customHeight="1" x14ac:dyDescent="0.2">
      <c r="B304" s="6" t="str">
        <f>Labels!B98</f>
        <v>Seed</v>
      </c>
      <c r="C304" s="7" t="str">
        <f>Labels!B99</f>
        <v>Round A</v>
      </c>
      <c r="D304" s="7" t="str">
        <f>Labels!B100</f>
        <v>Exit</v>
      </c>
      <c r="E304" s="25" t="str">
        <f>Labels!C97</f>
        <v>Total</v>
      </c>
    </row>
    <row r="305" spans="1:5" ht="12.75" customHeight="1" x14ac:dyDescent="0.2">
      <c r="A305" s="11" t="str">
        <f>Labels!B103</f>
        <v>Conv Note</v>
      </c>
      <c r="B305" s="68"/>
      <c r="C305" s="68"/>
      <c r="D305" s="68"/>
      <c r="E305" s="208"/>
    </row>
    <row r="306" spans="1:5" ht="12.75" customHeight="1" x14ac:dyDescent="0.2">
      <c r="A306" s="28" t="str">
        <f>"   "&amp;Labels!B104</f>
        <v xml:space="preserve">   Series B</v>
      </c>
      <c r="B306" s="71">
        <f>B274/B286</f>
        <v>0</v>
      </c>
      <c r="C306" s="71">
        <f>C274/C286</f>
        <v>0</v>
      </c>
      <c r="D306" s="71">
        <f>D274/D286</f>
        <v>0</v>
      </c>
      <c r="E306" s="145" t="str">
        <f>" "</f>
        <v xml:space="preserve"> </v>
      </c>
    </row>
    <row r="307" spans="1:5" ht="12.75" customHeight="1" x14ac:dyDescent="0.2">
      <c r="A307" s="28" t="str">
        <f>"   "&amp;Labels!B105</f>
        <v xml:space="preserve">   Series A</v>
      </c>
      <c r="B307" s="71">
        <f>B275/B286</f>
        <v>0</v>
      </c>
      <c r="C307" s="71">
        <f>C275/C286</f>
        <v>0</v>
      </c>
      <c r="D307" s="71">
        <f>D275/D286</f>
        <v>0</v>
      </c>
      <c r="E307" s="145" t="str">
        <f>" "</f>
        <v xml:space="preserve"> </v>
      </c>
    </row>
    <row r="308" spans="1:5" ht="12.75" customHeight="1" x14ac:dyDescent="0.2">
      <c r="A308" s="73" t="str">
        <f>"   "&amp;Labels!C103</f>
        <v xml:space="preserve">   Subtotal</v>
      </c>
      <c r="B308" s="75">
        <f>B276/B286</f>
        <v>0</v>
      </c>
      <c r="C308" s="75">
        <f>C276/C286</f>
        <v>0</v>
      </c>
      <c r="D308" s="75">
        <f>D276/D286</f>
        <v>0</v>
      </c>
      <c r="E308" s="145" t="str">
        <f>" "</f>
        <v xml:space="preserve"> </v>
      </c>
    </row>
    <row r="309" spans="1:5" ht="12.75" customHeight="1" x14ac:dyDescent="0.2">
      <c r="A309" s="73" t="str">
        <f>Labels!B106</f>
        <v>Preferred</v>
      </c>
      <c r="B309" s="75"/>
      <c r="C309" s="75"/>
      <c r="D309" s="75"/>
      <c r="E309" s="145"/>
    </row>
    <row r="310" spans="1:5" ht="12.75" customHeight="1" x14ac:dyDescent="0.2">
      <c r="A310" s="28" t="str">
        <f>"   "&amp;Labels!B107</f>
        <v xml:space="preserve">   Series A</v>
      </c>
      <c r="B310" s="71">
        <f>B278/B286</f>
        <v>0</v>
      </c>
      <c r="C310" s="71">
        <f>C278/C286</f>
        <v>0</v>
      </c>
      <c r="D310" s="71">
        <f>D278/D286</f>
        <v>0</v>
      </c>
      <c r="E310" s="145" t="str">
        <f>" "</f>
        <v xml:space="preserve"> </v>
      </c>
    </row>
    <row r="311" spans="1:5" ht="12.75" customHeight="1" x14ac:dyDescent="0.2">
      <c r="A311" s="73" t="str">
        <f>"   "&amp;Labels!C106</f>
        <v xml:space="preserve">   Subtotal</v>
      </c>
      <c r="B311" s="75">
        <f>B279/B286</f>
        <v>0</v>
      </c>
      <c r="C311" s="75">
        <f>C279/C286</f>
        <v>0</v>
      </c>
      <c r="D311" s="75">
        <f>D279/D286</f>
        <v>0</v>
      </c>
      <c r="E311" s="145" t="str">
        <f>" "</f>
        <v xml:space="preserve"> </v>
      </c>
    </row>
    <row r="312" spans="1:5" ht="12.75" customHeight="1" x14ac:dyDescent="0.2">
      <c r="A312" s="73" t="str">
        <f>Labels!B108</f>
        <v>Common</v>
      </c>
      <c r="B312" s="75">
        <f>B280/B286</f>
        <v>1</v>
      </c>
      <c r="C312" s="75">
        <f>C280/C286</f>
        <v>1</v>
      </c>
      <c r="D312" s="75">
        <f>D280/D286</f>
        <v>1</v>
      </c>
      <c r="E312" s="145" t="str">
        <f>" "</f>
        <v xml:space="preserve"> </v>
      </c>
    </row>
    <row r="313" spans="1:5" ht="12.75" customHeight="1" x14ac:dyDescent="0.2">
      <c r="A313" s="73" t="str">
        <f>Labels!B109</f>
        <v>Warrant</v>
      </c>
      <c r="B313" s="75">
        <f>B281/B286</f>
        <v>0</v>
      </c>
      <c r="C313" s="75">
        <f>C281/C286</f>
        <v>0</v>
      </c>
      <c r="D313" s="75">
        <f>D281/D286</f>
        <v>0</v>
      </c>
      <c r="E313" s="145" t="str">
        <f>" "</f>
        <v xml:space="preserve"> </v>
      </c>
    </row>
    <row r="314" spans="1:5" ht="12.75" customHeight="1" x14ac:dyDescent="0.2">
      <c r="A314" s="73" t="str">
        <f>Labels!B110</f>
        <v>Option</v>
      </c>
      <c r="B314" s="75"/>
      <c r="C314" s="75"/>
      <c r="D314" s="75"/>
      <c r="E314" s="145"/>
    </row>
    <row r="315" spans="1:5" ht="12.75" customHeight="1" x14ac:dyDescent="0.2">
      <c r="A315" s="28" t="str">
        <f>"   "&amp;Labels!B111</f>
        <v xml:space="preserve">   Series B</v>
      </c>
      <c r="B315" s="71">
        <f>B283/B286</f>
        <v>0</v>
      </c>
      <c r="C315" s="71">
        <f>C283/C286</f>
        <v>0</v>
      </c>
      <c r="D315" s="71">
        <f>D283/D286</f>
        <v>0</v>
      </c>
      <c r="E315" s="145" t="str">
        <f>" "</f>
        <v xml:space="preserve"> </v>
      </c>
    </row>
    <row r="316" spans="1:5" ht="12.75" customHeight="1" x14ac:dyDescent="0.2">
      <c r="A316" s="28" t="str">
        <f>"   "&amp;Labels!B112</f>
        <v xml:space="preserve">   Series A</v>
      </c>
      <c r="B316" s="71">
        <f>B284/B286</f>
        <v>0</v>
      </c>
      <c r="C316" s="71">
        <f>C284/C286</f>
        <v>0</v>
      </c>
      <c r="D316" s="71">
        <f>D284/D286</f>
        <v>0</v>
      </c>
      <c r="E316" s="145" t="str">
        <f>" "</f>
        <v xml:space="preserve"> </v>
      </c>
    </row>
    <row r="317" spans="1:5" ht="12.75" customHeight="1" x14ac:dyDescent="0.2">
      <c r="A317" s="73" t="str">
        <f>"   "&amp;Labels!C110</f>
        <v xml:space="preserve">   Subtotal</v>
      </c>
      <c r="B317" s="75">
        <f>B285/B286</f>
        <v>0</v>
      </c>
      <c r="C317" s="75">
        <f>C285/C286</f>
        <v>0</v>
      </c>
      <c r="D317" s="75">
        <f>D285/D286</f>
        <v>0</v>
      </c>
      <c r="E317" s="145" t="str">
        <f>" "</f>
        <v xml:space="preserve"> </v>
      </c>
    </row>
    <row r="318" spans="1:5" ht="12.75" customHeight="1" x14ac:dyDescent="0.2">
      <c r="A318" s="4" t="str">
        <f>Labels!C102</f>
        <v>Total</v>
      </c>
      <c r="B318" s="78">
        <f>B286/B286</f>
        <v>1</v>
      </c>
      <c r="C318" s="78">
        <f>C286/C286</f>
        <v>1</v>
      </c>
      <c r="D318" s="78">
        <f>D286/D286</f>
        <v>1</v>
      </c>
      <c r="E318" s="209" t="str">
        <f>" "</f>
        <v xml:space="preserve"> </v>
      </c>
    </row>
    <row r="319" spans="1:5" ht="12.75" customHeight="1" x14ac:dyDescent="0.2">
      <c r="A319" s="1" t="str">
        <f>Labels!B44</f>
        <v>Cash Flow</v>
      </c>
    </row>
    <row r="320" spans="1:5" ht="12.75" customHeight="1" x14ac:dyDescent="0.2">
      <c r="B320" s="6" t="str">
        <f>Labels!B98</f>
        <v>Seed</v>
      </c>
      <c r="C320" s="7" t="str">
        <f>Labels!B99</f>
        <v>Round A</v>
      </c>
      <c r="D320" s="7" t="str">
        <f>Labels!B100</f>
        <v>Exit</v>
      </c>
      <c r="E320" s="25" t="str">
        <f>Labels!C97</f>
        <v>Total</v>
      </c>
    </row>
    <row r="321" spans="1:5" ht="12.75" customHeight="1" x14ac:dyDescent="0.2">
      <c r="A321" s="11" t="str">
        <f>Labels!B103</f>
        <v>Conv Note</v>
      </c>
      <c r="B321" s="26"/>
      <c r="C321" s="26"/>
      <c r="D321" s="26"/>
      <c r="E321" s="27"/>
    </row>
    <row r="322" spans="1:5" ht="12.75" customHeight="1" x14ac:dyDescent="0.2">
      <c r="A322" s="28" t="str">
        <f>"   "&amp;Labels!B104</f>
        <v xml:space="preserve">   Series B</v>
      </c>
      <c r="B322" s="70">
        <f>Investment!B68+Investment!B98+0*0-IF(ISERROR(C274),B274,0)</f>
        <v>0</v>
      </c>
      <c r="C322" s="70">
        <f>Investment!C68+Investment!C98+0-IF(ISERROR(D274),C274,0)</f>
        <v>0</v>
      </c>
      <c r="D322" s="70">
        <f>Investment!D68+Investment!D98+0-IF(ISERROR(#REF!),D274,0)</f>
        <v>0</v>
      </c>
      <c r="E322" s="30" t="str">
        <f>""</f>
        <v/>
      </c>
    </row>
    <row r="323" spans="1:5" ht="12.75" customHeight="1" x14ac:dyDescent="0.2">
      <c r="A323" s="28" t="str">
        <f>"   "&amp;Labels!B105</f>
        <v xml:space="preserve">   Series A</v>
      </c>
      <c r="B323" s="70">
        <f>Investment!B69+Investment!B99+0*0-IF(ISERROR(C275),B275,0)</f>
        <v>0</v>
      </c>
      <c r="C323" s="70">
        <f>Investment!C69+Investment!C99+0-IF(ISERROR(D275),C275,0)</f>
        <v>0</v>
      </c>
      <c r="D323" s="70">
        <f>Investment!D69+Investment!D99+0-IF(ISERROR(#REF!),D275,0)</f>
        <v>0</v>
      </c>
      <c r="E323" s="30" t="str">
        <f>""</f>
        <v/>
      </c>
    </row>
    <row r="324" spans="1:5" ht="12.75" customHeight="1" x14ac:dyDescent="0.2">
      <c r="A324" s="73" t="str">
        <f>"   "&amp;Labels!C103</f>
        <v xml:space="preserve">   Subtotal</v>
      </c>
      <c r="B324" s="74">
        <f>SUM(B322:B323)</f>
        <v>0</v>
      </c>
      <c r="C324" s="74">
        <f>SUM(C322:C323)</f>
        <v>0</v>
      </c>
      <c r="D324" s="74">
        <f>SUM(D322:D323)</f>
        <v>0</v>
      </c>
      <c r="E324" s="30" t="str">
        <f>""</f>
        <v/>
      </c>
    </row>
    <row r="325" spans="1:5" ht="12.75" customHeight="1" x14ac:dyDescent="0.2">
      <c r="A325" s="73" t="str">
        <f>Labels!B106</f>
        <v>Preferred</v>
      </c>
      <c r="B325" s="74"/>
      <c r="C325" s="74"/>
      <c r="D325" s="74"/>
      <c r="E325" s="30"/>
    </row>
    <row r="326" spans="1:5" ht="12.75" customHeight="1" x14ac:dyDescent="0.2">
      <c r="A326" s="28" t="str">
        <f>"   "&amp;Labels!B107</f>
        <v xml:space="preserve">   Series A</v>
      </c>
      <c r="B326" s="70">
        <f>Investment!B72+Investment!B102+0*0-IF(ISERROR(C278),B278,0)</f>
        <v>0</v>
      </c>
      <c r="C326" s="70">
        <f>Investment!C72+Investment!C102+0-IF(ISERROR(D278),C278,0)</f>
        <v>0</v>
      </c>
      <c r="D326" s="70">
        <f>Investment!D72+Investment!D102+0-IF(ISERROR(#REF!),D278,0)</f>
        <v>0</v>
      </c>
      <c r="E326" s="30" t="str">
        <f>""</f>
        <v/>
      </c>
    </row>
    <row r="327" spans="1:5" ht="12.75" customHeight="1" x14ac:dyDescent="0.2">
      <c r="A327" s="73" t="str">
        <f>"   "&amp;Labels!C106</f>
        <v xml:space="preserve">   Subtotal</v>
      </c>
      <c r="B327" s="74">
        <f>SUM(B326)</f>
        <v>0</v>
      </c>
      <c r="C327" s="74">
        <f>SUM(C326)</f>
        <v>0</v>
      </c>
      <c r="D327" s="74">
        <f>SUM(D326)</f>
        <v>0</v>
      </c>
      <c r="E327" s="30" t="str">
        <f>""</f>
        <v/>
      </c>
    </row>
    <row r="328" spans="1:5" ht="12.75" customHeight="1" x14ac:dyDescent="0.2">
      <c r="A328" s="73" t="str">
        <f>Labels!B108</f>
        <v>Common</v>
      </c>
      <c r="B328" s="74">
        <f>Investment!B74+Investment!B104+0*0-IF(ISERROR(C280),B280,0)</f>
        <v>1</v>
      </c>
      <c r="C328" s="74">
        <f>Investment!C74+Investment!C104+0-IF(ISERROR(D280),C280,0)</f>
        <v>0</v>
      </c>
      <c r="D328" s="74">
        <f>Investment!D74+Investment!D104+0-IF(ISERROR(#REF!),D280,0)</f>
        <v>-1000000</v>
      </c>
      <c r="E328" s="30" t="str">
        <f>""</f>
        <v/>
      </c>
    </row>
    <row r="329" spans="1:5" ht="12.75" customHeight="1" x14ac:dyDescent="0.2">
      <c r="A329" s="73" t="str">
        <f>Labels!B109</f>
        <v>Warrant</v>
      </c>
      <c r="B329" s="74">
        <f>Investment!B75+Investment!B105+0*0-IF(ISERROR(C281),B281,0)</f>
        <v>0</v>
      </c>
      <c r="C329" s="74">
        <f>Investment!C75+Investment!C105+0-IF(ISERROR(D281),C281,0)</f>
        <v>0</v>
      </c>
      <c r="D329" s="74">
        <f>Investment!D75+Investment!D105+0-IF(ISERROR(#REF!),D281,0)</f>
        <v>0</v>
      </c>
      <c r="E329" s="30" t="str">
        <f>""</f>
        <v/>
      </c>
    </row>
    <row r="330" spans="1:5" ht="12.75" customHeight="1" x14ac:dyDescent="0.2">
      <c r="A330" s="73" t="str">
        <f>Labels!B110</f>
        <v>Option</v>
      </c>
      <c r="B330" s="74"/>
      <c r="C330" s="74"/>
      <c r="D330" s="74"/>
      <c r="E330" s="30"/>
    </row>
    <row r="331" spans="1:5" ht="12.75" customHeight="1" x14ac:dyDescent="0.2">
      <c r="A331" s="28" t="str">
        <f>"   "&amp;Labels!B111</f>
        <v xml:space="preserve">   Series B</v>
      </c>
      <c r="B331" s="70">
        <f>Investment!B77+Investment!B107+0*0-IF(ISERROR(C283),B283,0)</f>
        <v>0</v>
      </c>
      <c r="C331" s="70">
        <f>Investment!C77+Investment!C107+0-IF(ISERROR(D283),C283,0)</f>
        <v>0</v>
      </c>
      <c r="D331" s="70">
        <f>Investment!D77+Investment!D107+0-IF(ISERROR(#REF!),D283,0)</f>
        <v>0</v>
      </c>
      <c r="E331" s="30" t="str">
        <f>""</f>
        <v/>
      </c>
    </row>
    <row r="332" spans="1:5" ht="12.75" customHeight="1" x14ac:dyDescent="0.2">
      <c r="A332" s="28" t="str">
        <f>"   "&amp;Labels!B112</f>
        <v xml:space="preserve">   Series A</v>
      </c>
      <c r="B332" s="70">
        <f>Investment!B78+Investment!B108+0*0-IF(ISERROR(C284),B284,0)</f>
        <v>0</v>
      </c>
      <c r="C332" s="70">
        <f>Investment!C78+Investment!C108+0-IF(ISERROR(D284),C284,0)</f>
        <v>0</v>
      </c>
      <c r="D332" s="70">
        <f>Investment!D78+Investment!D108+0-IF(ISERROR(#REF!),D284,0)</f>
        <v>0</v>
      </c>
      <c r="E332" s="30" t="str">
        <f>""</f>
        <v/>
      </c>
    </row>
    <row r="333" spans="1:5" ht="12.75" customHeight="1" x14ac:dyDescent="0.2">
      <c r="A333" s="73" t="str">
        <f>"   "&amp;Labels!C110</f>
        <v xml:space="preserve">   Subtotal</v>
      </c>
      <c r="B333" s="74">
        <f>SUM(B331:B332)</f>
        <v>0</v>
      </c>
      <c r="C333" s="74">
        <f>SUM(C331:C332)</f>
        <v>0</v>
      </c>
      <c r="D333" s="74">
        <f>SUM(D331:D332)</f>
        <v>0</v>
      </c>
      <c r="E333" s="30" t="str">
        <f>""</f>
        <v/>
      </c>
    </row>
    <row r="334" spans="1:5" ht="12.75" customHeight="1" x14ac:dyDescent="0.2">
      <c r="A334" s="4" t="str">
        <f>Labels!C102</f>
        <v>Total</v>
      </c>
      <c r="B334" s="77">
        <f>SUM(B324,B327:B329,B333)</f>
        <v>1</v>
      </c>
      <c r="C334" s="77">
        <f>SUM(C324,C327:C329,C333)</f>
        <v>0</v>
      </c>
      <c r="D334" s="77">
        <f>SUM(D324,D327:D329,D333)</f>
        <v>-1000000</v>
      </c>
      <c r="E334" s="47" t="str">
        <f>""</f>
        <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12"/>
  <sheetViews>
    <sheetView zoomScaleNormal="100" workbookViewId="0"/>
  </sheetViews>
  <sheetFormatPr defaultRowHeight="12.75" customHeight="1" x14ac:dyDescent="0.2"/>
  <cols>
    <col min="1" max="1" width="29.85546875" customWidth="1"/>
    <col min="2" max="2" width="25.28515625" customWidth="1"/>
    <col min="3" max="3" width="9.140625" customWidth="1"/>
    <col min="4" max="4" width="19.140625" customWidth="1"/>
    <col min="5" max="5" width="60.7109375" style="223" customWidth="1"/>
  </cols>
  <sheetData>
    <row r="1" spans="1:5" ht="12.75" customHeight="1" x14ac:dyDescent="0.2">
      <c r="A1" s="261" t="str">
        <f>"Capitalization Table"</f>
        <v>Capitalization Table</v>
      </c>
      <c r="B1" s="261"/>
      <c r="C1" s="261"/>
      <c r="D1" s="261"/>
    </row>
    <row r="2" spans="1:5" ht="12.75" customHeight="1" x14ac:dyDescent="0.2">
      <c r="A2" s="261" t="str">
        <f>Inputs!B8</f>
        <v>ABC Corp.</v>
      </c>
      <c r="B2" s="261"/>
      <c r="C2" s="261"/>
      <c r="D2" s="261"/>
    </row>
    <row r="3" spans="1:5" ht="12.75" customHeight="1" x14ac:dyDescent="0.2">
      <c r="A3" s="261" t="str">
        <f>IF("Labels"="(Default Input)","Ignore this sheet in normal use.","Investment Scenario "&amp;1&amp;", Valuation Scenario "&amp;1)</f>
        <v>Investment Scenario 1, Valuation Scenario 1</v>
      </c>
      <c r="B3" s="261"/>
      <c r="C3" s="261"/>
      <c r="D3" s="261"/>
    </row>
    <row r="4" spans="1:5" ht="12.75" customHeight="1" x14ac:dyDescent="0.2">
      <c r="A4" s="210" t="s">
        <v>421</v>
      </c>
      <c r="B4" s="210" t="s">
        <v>393</v>
      </c>
      <c r="C4" s="210"/>
      <c r="D4" s="210"/>
      <c r="E4" s="221" t="s">
        <v>482</v>
      </c>
    </row>
    <row r="5" spans="1:5" ht="12.75" customHeight="1" x14ac:dyDescent="0.2">
      <c r="A5" s="211" t="s">
        <v>139</v>
      </c>
      <c r="B5" s="212" t="s">
        <v>90</v>
      </c>
      <c r="C5" s="213"/>
      <c r="D5" s="213"/>
      <c r="E5" s="222" t="s">
        <v>165</v>
      </c>
    </row>
    <row r="6" spans="1:5" ht="102" customHeight="1" x14ac:dyDescent="0.2">
      <c r="A6" s="211" t="s">
        <v>182</v>
      </c>
      <c r="B6" s="212" t="s">
        <v>656</v>
      </c>
      <c r="C6" s="213"/>
      <c r="D6" s="213"/>
      <c r="E6" s="222" t="s">
        <v>495</v>
      </c>
    </row>
    <row r="7" spans="1:5" ht="204.75" customHeight="1" x14ac:dyDescent="0.2">
      <c r="A7" s="211" t="s">
        <v>361</v>
      </c>
      <c r="B7" s="212" t="s">
        <v>489</v>
      </c>
      <c r="C7" s="213"/>
      <c r="D7" s="213"/>
      <c r="E7" s="222" t="s">
        <v>185</v>
      </c>
    </row>
    <row r="8" spans="1:5" ht="45.75" customHeight="1" x14ac:dyDescent="0.2">
      <c r="A8" s="211" t="s">
        <v>89</v>
      </c>
      <c r="B8" s="212" t="s">
        <v>614</v>
      </c>
      <c r="C8" s="213"/>
      <c r="D8" s="213"/>
      <c r="E8" s="222" t="s">
        <v>806</v>
      </c>
    </row>
    <row r="9" spans="1:5" ht="33.75" customHeight="1" x14ac:dyDescent="0.2">
      <c r="A9" s="211" t="s">
        <v>484</v>
      </c>
      <c r="B9" s="212" t="s">
        <v>665</v>
      </c>
      <c r="C9" s="213"/>
      <c r="D9" s="213"/>
      <c r="E9" s="222" t="s">
        <v>229</v>
      </c>
    </row>
    <row r="10" spans="1:5" ht="45.75" customHeight="1" x14ac:dyDescent="0.2">
      <c r="A10" s="211" t="s">
        <v>3</v>
      </c>
      <c r="B10" s="212" t="s">
        <v>74</v>
      </c>
      <c r="C10" s="213"/>
      <c r="D10" s="213"/>
      <c r="E10" s="222" t="s">
        <v>335</v>
      </c>
    </row>
    <row r="11" spans="1:5" ht="33.75" customHeight="1" x14ac:dyDescent="0.2">
      <c r="A11" s="211" t="s">
        <v>700</v>
      </c>
      <c r="B11" s="212" t="s">
        <v>786</v>
      </c>
      <c r="C11" s="213"/>
      <c r="D11" s="213"/>
      <c r="E11" s="222" t="s">
        <v>323</v>
      </c>
    </row>
    <row r="12" spans="1:5" ht="90.75" customHeight="1" x14ac:dyDescent="0.2">
      <c r="A12" s="211" t="s">
        <v>820</v>
      </c>
      <c r="B12" s="212" t="s">
        <v>723</v>
      </c>
      <c r="C12" s="213"/>
      <c r="D12" s="213"/>
      <c r="E12" s="222" t="s">
        <v>167</v>
      </c>
    </row>
    <row r="13" spans="1:5" ht="33.75" customHeight="1" x14ac:dyDescent="0.2">
      <c r="A13" s="211" t="s">
        <v>784</v>
      </c>
      <c r="B13" s="212" t="s">
        <v>154</v>
      </c>
      <c r="C13" s="213"/>
      <c r="D13" s="213"/>
      <c r="E13" s="222" t="s">
        <v>410</v>
      </c>
    </row>
    <row r="14" spans="1:5" ht="22.5" customHeight="1" x14ac:dyDescent="0.2">
      <c r="A14" s="211" t="s">
        <v>468</v>
      </c>
      <c r="B14" s="212" t="s">
        <v>522</v>
      </c>
      <c r="C14" s="213"/>
      <c r="D14" s="213"/>
      <c r="E14" s="222" t="s">
        <v>280</v>
      </c>
    </row>
    <row r="15" spans="1:5" ht="22.5" customHeight="1" x14ac:dyDescent="0.2">
      <c r="A15" s="211" t="s">
        <v>573</v>
      </c>
      <c r="B15" s="212" t="s">
        <v>573</v>
      </c>
      <c r="C15" s="213"/>
      <c r="D15" s="213"/>
      <c r="E15" s="222" t="s">
        <v>339</v>
      </c>
    </row>
    <row r="16" spans="1:5" ht="57" customHeight="1" x14ac:dyDescent="0.2">
      <c r="A16" s="211" t="s">
        <v>415</v>
      </c>
      <c r="B16" s="212" t="s">
        <v>222</v>
      </c>
      <c r="C16" s="213"/>
      <c r="D16" s="213"/>
      <c r="E16" s="222" t="s">
        <v>177</v>
      </c>
    </row>
    <row r="17" spans="1:5" ht="45.75" customHeight="1" x14ac:dyDescent="0.2">
      <c r="A17" s="211" t="s">
        <v>411</v>
      </c>
      <c r="B17" s="212" t="s">
        <v>222</v>
      </c>
      <c r="C17" s="213"/>
      <c r="D17" s="213"/>
      <c r="E17" s="222" t="s">
        <v>330</v>
      </c>
    </row>
    <row r="18" spans="1:5" ht="12.75" customHeight="1" x14ac:dyDescent="0.2">
      <c r="A18" s="211" t="s">
        <v>2</v>
      </c>
      <c r="B18" s="212" t="s">
        <v>560</v>
      </c>
      <c r="C18" s="213"/>
      <c r="D18" s="213"/>
      <c r="E18" s="222" t="s">
        <v>21</v>
      </c>
    </row>
    <row r="19" spans="1:5" ht="22.5" customHeight="1" x14ac:dyDescent="0.2">
      <c r="A19" s="211" t="s">
        <v>606</v>
      </c>
      <c r="B19" s="212" t="s">
        <v>671</v>
      </c>
      <c r="C19" s="213"/>
      <c r="D19" s="213"/>
      <c r="E19" s="222" t="s">
        <v>188</v>
      </c>
    </row>
    <row r="20" spans="1:5" ht="12.75" customHeight="1" x14ac:dyDescent="0.2">
      <c r="A20" s="211" t="s">
        <v>627</v>
      </c>
      <c r="B20" s="212" t="s">
        <v>575</v>
      </c>
      <c r="C20" s="213"/>
      <c r="D20" s="213"/>
      <c r="E20" s="222" t="s">
        <v>813</v>
      </c>
    </row>
    <row r="21" spans="1:5" ht="12.75" customHeight="1" x14ac:dyDescent="0.2">
      <c r="A21" s="211" t="s">
        <v>49</v>
      </c>
      <c r="B21" s="212" t="s">
        <v>575</v>
      </c>
      <c r="C21" s="213"/>
      <c r="D21" s="213"/>
      <c r="E21" s="222" t="s">
        <v>349</v>
      </c>
    </row>
    <row r="22" spans="1:5" ht="45.75" customHeight="1" x14ac:dyDescent="0.2">
      <c r="A22" s="211" t="s">
        <v>328</v>
      </c>
      <c r="B22" s="212" t="s">
        <v>590</v>
      </c>
      <c r="C22" s="213"/>
      <c r="D22" s="213"/>
      <c r="E22" s="222" t="s">
        <v>596</v>
      </c>
    </row>
    <row r="23" spans="1:5" ht="12.75" customHeight="1" x14ac:dyDescent="0.2">
      <c r="A23" s="211" t="s">
        <v>771</v>
      </c>
      <c r="B23" s="212" t="s">
        <v>590</v>
      </c>
      <c r="C23" s="213"/>
      <c r="D23" s="213"/>
      <c r="E23" s="222" t="s">
        <v>551</v>
      </c>
    </row>
    <row r="24" spans="1:5" ht="12.75" customHeight="1" x14ac:dyDescent="0.2">
      <c r="A24" s="211" t="s">
        <v>659</v>
      </c>
      <c r="B24" s="212" t="s">
        <v>651</v>
      </c>
      <c r="C24" s="213"/>
      <c r="D24" s="213"/>
      <c r="E24" s="222" t="s">
        <v>156</v>
      </c>
    </row>
    <row r="25" spans="1:5" ht="12.75" customHeight="1" x14ac:dyDescent="0.2">
      <c r="A25" s="211" t="s">
        <v>493</v>
      </c>
      <c r="B25" s="212" t="s">
        <v>590</v>
      </c>
      <c r="C25" s="213"/>
      <c r="D25" s="213"/>
      <c r="E25" s="222" t="s">
        <v>156</v>
      </c>
    </row>
    <row r="26" spans="1:5" ht="22.5" customHeight="1" x14ac:dyDescent="0.2">
      <c r="A26" s="211" t="s">
        <v>285</v>
      </c>
      <c r="B26" s="212" t="s">
        <v>509</v>
      </c>
      <c r="C26" s="213"/>
      <c r="D26" s="213"/>
      <c r="E26" s="222" t="s">
        <v>175</v>
      </c>
    </row>
    <row r="27" spans="1:5" ht="22.5" customHeight="1" x14ac:dyDescent="0.2">
      <c r="A27" s="211" t="s">
        <v>779</v>
      </c>
      <c r="B27" s="212" t="s">
        <v>4</v>
      </c>
      <c r="C27" s="213"/>
      <c r="D27" s="213"/>
      <c r="E27" s="222" t="s">
        <v>540</v>
      </c>
    </row>
    <row r="28" spans="1:5" ht="33.75" customHeight="1" x14ac:dyDescent="0.2">
      <c r="A28" s="211" t="s">
        <v>334</v>
      </c>
      <c r="B28" s="212" t="s">
        <v>487</v>
      </c>
      <c r="C28" s="213"/>
      <c r="D28" s="213"/>
      <c r="E28" s="222" t="s">
        <v>55</v>
      </c>
    </row>
    <row r="29" spans="1:5" ht="33.75" customHeight="1" x14ac:dyDescent="0.2">
      <c r="A29" s="211" t="s">
        <v>478</v>
      </c>
      <c r="B29" s="212" t="s">
        <v>291</v>
      </c>
      <c r="C29" s="213"/>
      <c r="D29" s="213"/>
      <c r="E29" s="222" t="s">
        <v>55</v>
      </c>
    </row>
    <row r="30" spans="1:5" ht="12.75" customHeight="1" x14ac:dyDescent="0.2">
      <c r="A30" s="211" t="s">
        <v>446</v>
      </c>
      <c r="B30" s="212" t="s">
        <v>721</v>
      </c>
      <c r="C30" s="213"/>
      <c r="D30" s="213"/>
      <c r="E30" s="222" t="s">
        <v>469</v>
      </c>
    </row>
    <row r="31" spans="1:5" ht="22.5" customHeight="1" x14ac:dyDescent="0.2">
      <c r="A31" s="211" t="s">
        <v>810</v>
      </c>
      <c r="B31" s="212" t="s">
        <v>112</v>
      </c>
      <c r="C31" s="213"/>
      <c r="D31" s="213"/>
      <c r="E31" s="222" t="s">
        <v>168</v>
      </c>
    </row>
    <row r="32" spans="1:5" ht="22.5" customHeight="1" x14ac:dyDescent="0.2">
      <c r="A32" s="211" t="s">
        <v>757</v>
      </c>
      <c r="B32" s="212" t="s">
        <v>247</v>
      </c>
      <c r="C32" s="213"/>
      <c r="D32" s="213"/>
      <c r="E32" s="222" t="s">
        <v>521</v>
      </c>
    </row>
    <row r="33" spans="1:5" ht="22.5" customHeight="1" x14ac:dyDescent="0.2">
      <c r="A33" s="211" t="s">
        <v>404</v>
      </c>
      <c r="B33" s="212" t="s">
        <v>67</v>
      </c>
      <c r="C33" s="213"/>
      <c r="D33" s="213"/>
      <c r="E33" s="222" t="s">
        <v>129</v>
      </c>
    </row>
    <row r="34" spans="1:5" ht="22.5" customHeight="1" x14ac:dyDescent="0.2">
      <c r="A34" s="211" t="s">
        <v>143</v>
      </c>
      <c r="B34" s="212" t="s">
        <v>217</v>
      </c>
      <c r="C34" s="213"/>
      <c r="D34" s="213"/>
      <c r="E34" s="222" t="s">
        <v>399</v>
      </c>
    </row>
    <row r="35" spans="1:5" ht="22.5" customHeight="1" x14ac:dyDescent="0.2">
      <c r="A35" s="211" t="s">
        <v>396</v>
      </c>
      <c r="B35" s="212" t="s">
        <v>313</v>
      </c>
      <c r="C35" s="213"/>
      <c r="D35" s="213"/>
      <c r="E35" s="222" t="s">
        <v>526</v>
      </c>
    </row>
    <row r="36" spans="1:5" ht="22.5" customHeight="1" x14ac:dyDescent="0.2">
      <c r="A36" s="211" t="s">
        <v>152</v>
      </c>
      <c r="B36" s="212" t="s">
        <v>320</v>
      </c>
      <c r="C36" s="213"/>
      <c r="D36" s="213"/>
      <c r="E36" s="222" t="s">
        <v>501</v>
      </c>
    </row>
    <row r="37" spans="1:5" ht="22.5" customHeight="1" x14ac:dyDescent="0.2">
      <c r="A37" s="211" t="s">
        <v>508</v>
      </c>
      <c r="B37" s="212" t="s">
        <v>745</v>
      </c>
      <c r="C37" s="213"/>
      <c r="D37" s="213"/>
      <c r="E37" s="222" t="s">
        <v>317</v>
      </c>
    </row>
    <row r="38" spans="1:5" ht="125.25" customHeight="1" x14ac:dyDescent="0.2">
      <c r="A38" s="211" t="s">
        <v>336</v>
      </c>
      <c r="B38" s="212" t="s">
        <v>507</v>
      </c>
      <c r="C38" s="213"/>
      <c r="D38" s="213"/>
      <c r="E38" s="222" t="s">
        <v>537</v>
      </c>
    </row>
    <row r="39" spans="1:5" ht="147.75" customHeight="1" x14ac:dyDescent="0.2">
      <c r="A39" s="211" t="s">
        <v>518</v>
      </c>
      <c r="B39" s="212" t="s">
        <v>500</v>
      </c>
      <c r="C39" s="213"/>
      <c r="D39" s="213"/>
      <c r="E39" s="222" t="s">
        <v>753</v>
      </c>
    </row>
    <row r="40" spans="1:5" ht="22.5" customHeight="1" x14ac:dyDescent="0.2">
      <c r="A40" s="211" t="s">
        <v>341</v>
      </c>
      <c r="B40" s="212" t="s">
        <v>500</v>
      </c>
      <c r="C40" s="213"/>
      <c r="D40" s="213"/>
      <c r="E40" s="222" t="s">
        <v>108</v>
      </c>
    </row>
    <row r="41" spans="1:5" ht="22.5" customHeight="1" x14ac:dyDescent="0.2">
      <c r="A41" s="211" t="s">
        <v>259</v>
      </c>
      <c r="B41" s="212" t="s">
        <v>462</v>
      </c>
      <c r="C41" s="213"/>
      <c r="D41" s="213"/>
      <c r="E41" s="222" t="s">
        <v>17</v>
      </c>
    </row>
    <row r="42" spans="1:5" ht="33.75" customHeight="1" x14ac:dyDescent="0.2">
      <c r="A42" s="211" t="s">
        <v>309</v>
      </c>
      <c r="B42" s="212" t="s">
        <v>173</v>
      </c>
      <c r="C42" s="213"/>
      <c r="D42" s="213"/>
      <c r="E42" s="222" t="s">
        <v>714</v>
      </c>
    </row>
    <row r="43" spans="1:5" ht="45.75" customHeight="1" x14ac:dyDescent="0.2">
      <c r="A43" s="211" t="s">
        <v>505</v>
      </c>
      <c r="B43" s="212" t="s">
        <v>173</v>
      </c>
      <c r="C43" s="213"/>
      <c r="D43" s="213"/>
      <c r="E43" s="222" t="s">
        <v>648</v>
      </c>
    </row>
    <row r="44" spans="1:5" ht="33.75" customHeight="1" x14ac:dyDescent="0.2">
      <c r="A44" s="211" t="s">
        <v>206</v>
      </c>
      <c r="B44" s="212" t="s">
        <v>741</v>
      </c>
      <c r="C44" s="213"/>
      <c r="D44" s="213"/>
      <c r="E44" s="222" t="s">
        <v>324</v>
      </c>
    </row>
    <row r="45" spans="1:5" ht="22.5" customHeight="1" x14ac:dyDescent="0.2">
      <c r="A45" s="211" t="s">
        <v>722</v>
      </c>
      <c r="B45" s="212" t="s">
        <v>145</v>
      </c>
      <c r="C45" s="213"/>
      <c r="D45" s="213"/>
      <c r="E45" s="222" t="s">
        <v>12</v>
      </c>
    </row>
    <row r="46" spans="1:5" ht="33.75" customHeight="1" x14ac:dyDescent="0.2">
      <c r="A46" s="211" t="s">
        <v>351</v>
      </c>
      <c r="B46" s="212" t="s">
        <v>622</v>
      </c>
      <c r="C46" s="213"/>
      <c r="D46" s="213"/>
      <c r="E46" s="222" t="s">
        <v>796</v>
      </c>
    </row>
    <row r="47" spans="1:5" ht="22.5" customHeight="1" x14ac:dyDescent="0.2">
      <c r="A47" s="211" t="s">
        <v>327</v>
      </c>
      <c r="B47" s="212" t="s">
        <v>325</v>
      </c>
      <c r="C47" s="213"/>
      <c r="D47" s="213"/>
      <c r="E47" s="222" t="s">
        <v>715</v>
      </c>
    </row>
    <row r="48" spans="1:5" ht="33.75" customHeight="1" x14ac:dyDescent="0.2">
      <c r="A48" s="211" t="s">
        <v>739</v>
      </c>
      <c r="B48" s="212" t="s">
        <v>762</v>
      </c>
      <c r="C48" s="213"/>
      <c r="D48" s="213"/>
      <c r="E48" s="222" t="s">
        <v>639</v>
      </c>
    </row>
    <row r="49" spans="1:5" ht="33.75" customHeight="1" x14ac:dyDescent="0.2">
      <c r="A49" s="211" t="s">
        <v>578</v>
      </c>
      <c r="B49" s="212" t="s">
        <v>425</v>
      </c>
      <c r="C49" s="213"/>
      <c r="D49" s="213"/>
      <c r="E49" s="222" t="s">
        <v>357</v>
      </c>
    </row>
    <row r="50" spans="1:5" ht="33.75" customHeight="1" x14ac:dyDescent="0.2">
      <c r="A50" s="211" t="s">
        <v>231</v>
      </c>
      <c r="B50" s="212" t="s">
        <v>547</v>
      </c>
      <c r="C50" s="213"/>
      <c r="D50" s="213"/>
      <c r="E50" s="222" t="s">
        <v>289</v>
      </c>
    </row>
    <row r="51" spans="1:5" ht="22.5" customHeight="1" x14ac:dyDescent="0.2">
      <c r="A51" s="211" t="s">
        <v>798</v>
      </c>
      <c r="B51" s="212" t="s">
        <v>667</v>
      </c>
      <c r="C51" s="213"/>
      <c r="D51" s="213"/>
      <c r="E51" s="222" t="s">
        <v>733</v>
      </c>
    </row>
    <row r="52" spans="1:5" ht="33.75" customHeight="1" x14ac:dyDescent="0.2">
      <c r="A52" s="211" t="s">
        <v>427</v>
      </c>
      <c r="B52" s="212" t="s">
        <v>780</v>
      </c>
      <c r="C52" s="213"/>
      <c r="D52" s="213"/>
      <c r="E52" s="222" t="s">
        <v>679</v>
      </c>
    </row>
    <row r="53" spans="1:5" ht="45.75" customHeight="1" x14ac:dyDescent="0.2">
      <c r="A53" s="211" t="s">
        <v>116</v>
      </c>
      <c r="B53" s="212" t="s">
        <v>516</v>
      </c>
      <c r="C53" s="213"/>
      <c r="D53" s="213"/>
      <c r="E53" s="222" t="s">
        <v>553</v>
      </c>
    </row>
    <row r="54" spans="1:5" ht="22.5" customHeight="1" x14ac:dyDescent="0.2">
      <c r="A54" s="211" t="s">
        <v>520</v>
      </c>
      <c r="B54" s="212" t="s">
        <v>33</v>
      </c>
      <c r="C54" s="213"/>
      <c r="D54" s="213"/>
      <c r="E54" s="222" t="s">
        <v>477</v>
      </c>
    </row>
    <row r="55" spans="1:5" ht="45.75" customHeight="1" x14ac:dyDescent="0.2">
      <c r="A55" s="211" t="s">
        <v>767</v>
      </c>
      <c r="B55" s="212" t="s">
        <v>296</v>
      </c>
      <c r="C55" s="213"/>
      <c r="D55" s="213"/>
      <c r="E55" s="222" t="s">
        <v>542</v>
      </c>
    </row>
    <row r="56" spans="1:5" ht="45.75" customHeight="1" x14ac:dyDescent="0.2">
      <c r="A56" s="211" t="s">
        <v>253</v>
      </c>
      <c r="B56" s="212" t="s">
        <v>296</v>
      </c>
      <c r="C56" s="213"/>
      <c r="D56" s="213"/>
      <c r="E56" s="222" t="s">
        <v>246</v>
      </c>
    </row>
    <row r="57" spans="1:5" ht="45.75" customHeight="1" x14ac:dyDescent="0.2">
      <c r="A57" s="211" t="s">
        <v>267</v>
      </c>
      <c r="B57" s="212" t="s">
        <v>592</v>
      </c>
      <c r="C57" s="213"/>
      <c r="D57" s="213"/>
      <c r="E57" s="222" t="s">
        <v>443</v>
      </c>
    </row>
    <row r="58" spans="1:5" ht="45.75" customHeight="1" x14ac:dyDescent="0.2">
      <c r="A58" s="211" t="s">
        <v>81</v>
      </c>
      <c r="B58" s="212" t="s">
        <v>592</v>
      </c>
      <c r="C58" s="213"/>
      <c r="D58" s="213"/>
      <c r="E58" s="222" t="s">
        <v>444</v>
      </c>
    </row>
    <row r="59" spans="1:5" ht="45.75" customHeight="1" x14ac:dyDescent="0.2">
      <c r="A59" s="211" t="s">
        <v>220</v>
      </c>
      <c r="B59" s="212" t="s">
        <v>37</v>
      </c>
      <c r="C59" s="213"/>
      <c r="D59" s="213"/>
      <c r="E59" s="222" t="s">
        <v>677</v>
      </c>
    </row>
    <row r="60" spans="1:5" ht="22.5" customHeight="1" x14ac:dyDescent="0.2">
      <c r="A60" s="211" t="s">
        <v>237</v>
      </c>
      <c r="B60" s="212" t="s">
        <v>261</v>
      </c>
      <c r="C60" s="213"/>
      <c r="D60" s="213"/>
      <c r="E60" s="222" t="s">
        <v>56</v>
      </c>
    </row>
    <row r="61" spans="1:5" ht="45.75" customHeight="1" x14ac:dyDescent="0.2">
      <c r="A61" s="211" t="s">
        <v>453</v>
      </c>
      <c r="B61" s="212" t="s">
        <v>37</v>
      </c>
      <c r="C61" s="213"/>
      <c r="D61" s="213"/>
      <c r="E61" s="222" t="s">
        <v>321</v>
      </c>
    </row>
    <row r="62" spans="1:5" ht="22.5" customHeight="1" x14ac:dyDescent="0.2">
      <c r="A62" s="211" t="s">
        <v>131</v>
      </c>
      <c r="B62" s="212" t="s">
        <v>261</v>
      </c>
      <c r="C62" s="213"/>
      <c r="D62" s="213"/>
      <c r="E62" s="222" t="s">
        <v>56</v>
      </c>
    </row>
    <row r="63" spans="1:5" ht="45.75" customHeight="1" x14ac:dyDescent="0.2">
      <c r="A63" s="211" t="s">
        <v>353</v>
      </c>
      <c r="B63" s="212" t="s">
        <v>164</v>
      </c>
      <c r="C63" s="213"/>
      <c r="D63" s="213"/>
      <c r="E63" s="222" t="s">
        <v>199</v>
      </c>
    </row>
    <row r="64" spans="1:5" ht="45.75" customHeight="1" x14ac:dyDescent="0.2">
      <c r="A64" s="211" t="s">
        <v>678</v>
      </c>
      <c r="B64" s="212" t="s">
        <v>164</v>
      </c>
      <c r="C64" s="213"/>
      <c r="D64" s="213"/>
      <c r="E64" s="222" t="s">
        <v>24</v>
      </c>
    </row>
    <row r="65" spans="1:5" ht="12.75" customHeight="1" x14ac:dyDescent="0.2">
      <c r="A65" s="211" t="s">
        <v>102</v>
      </c>
      <c r="B65" s="212" t="s">
        <v>202</v>
      </c>
      <c r="C65" s="213"/>
      <c r="D65" s="213"/>
      <c r="E65" s="222" t="s">
        <v>593</v>
      </c>
    </row>
    <row r="66" spans="1:5" ht="33.75" customHeight="1" x14ac:dyDescent="0.2">
      <c r="A66" s="211" t="s">
        <v>258</v>
      </c>
      <c r="B66" s="212" t="s">
        <v>480</v>
      </c>
      <c r="C66" s="213"/>
      <c r="D66" s="213"/>
      <c r="E66" s="222" t="s">
        <v>711</v>
      </c>
    </row>
    <row r="67" spans="1:5" ht="102" customHeight="1" x14ac:dyDescent="0.2">
      <c r="A67" s="211" t="s">
        <v>529</v>
      </c>
      <c r="B67" s="212" t="s">
        <v>180</v>
      </c>
      <c r="C67" s="213"/>
      <c r="D67" s="213"/>
      <c r="E67" s="222" t="s">
        <v>474</v>
      </c>
    </row>
    <row r="68" spans="1:5" ht="22.5" customHeight="1" x14ac:dyDescent="0.2">
      <c r="A68" s="211" t="s">
        <v>340</v>
      </c>
      <c r="B68" s="212" t="s">
        <v>60</v>
      </c>
      <c r="C68" s="213"/>
      <c r="D68" s="213"/>
      <c r="E68" s="222" t="s">
        <v>333</v>
      </c>
    </row>
    <row r="69" spans="1:5" ht="22.5" customHeight="1" x14ac:dyDescent="0.2">
      <c r="A69" s="211" t="s">
        <v>338</v>
      </c>
      <c r="B69" s="212" t="s">
        <v>85</v>
      </c>
      <c r="C69" s="213"/>
      <c r="D69" s="213"/>
      <c r="E69" s="222" t="s">
        <v>804</v>
      </c>
    </row>
    <row r="70" spans="1:5" ht="45.75" customHeight="1" x14ac:dyDescent="0.2">
      <c r="A70" s="211" t="s">
        <v>803</v>
      </c>
      <c r="B70" s="212" t="s">
        <v>326</v>
      </c>
      <c r="C70" s="213"/>
      <c r="D70" s="213"/>
      <c r="E70" s="222" t="s">
        <v>494</v>
      </c>
    </row>
    <row r="71" spans="1:5" ht="33.75" customHeight="1" x14ac:dyDescent="0.2">
      <c r="A71" s="211" t="s">
        <v>690</v>
      </c>
      <c r="B71" s="212" t="s">
        <v>641</v>
      </c>
      <c r="C71" s="213"/>
      <c r="D71" s="213"/>
      <c r="E71" s="222" t="s">
        <v>740</v>
      </c>
    </row>
    <row r="72" spans="1:5" ht="12.75" customHeight="1" x14ac:dyDescent="0.2">
      <c r="A72" s="211" t="s">
        <v>557</v>
      </c>
      <c r="B72" s="212" t="s">
        <v>734</v>
      </c>
      <c r="C72" s="213"/>
      <c r="D72" s="213"/>
      <c r="E72" s="222" t="s">
        <v>799</v>
      </c>
    </row>
    <row r="73" spans="1:5" ht="12.75" customHeight="1" x14ac:dyDescent="0.2">
      <c r="A73" s="211" t="s">
        <v>52</v>
      </c>
      <c r="B73" s="212" t="s">
        <v>355</v>
      </c>
      <c r="C73" s="213"/>
      <c r="D73" s="213"/>
      <c r="E73" s="222"/>
    </row>
    <row r="74" spans="1:5" ht="12.75" customHeight="1" x14ac:dyDescent="0.2">
      <c r="A74" s="211" t="s">
        <v>306</v>
      </c>
      <c r="B74" s="212" t="s">
        <v>306</v>
      </c>
      <c r="C74" s="213"/>
      <c r="D74" s="213"/>
      <c r="E74" s="222"/>
    </row>
    <row r="75" spans="1:5" ht="12.75" customHeight="1" x14ac:dyDescent="0.2">
      <c r="A75" s="211" t="s">
        <v>195</v>
      </c>
      <c r="B75" s="212" t="s">
        <v>72</v>
      </c>
      <c r="C75" s="213"/>
      <c r="D75" s="213"/>
      <c r="E75" s="222" t="s">
        <v>305</v>
      </c>
    </row>
    <row r="76" spans="1:5" ht="22.5" customHeight="1" x14ac:dyDescent="0.2">
      <c r="A76" s="211" t="s">
        <v>287</v>
      </c>
      <c r="B76" s="212" t="s">
        <v>407</v>
      </c>
      <c r="C76" s="213"/>
      <c r="D76" s="213"/>
      <c r="E76" s="222" t="s">
        <v>337</v>
      </c>
    </row>
    <row r="77" spans="1:5" ht="12.75" customHeight="1" x14ac:dyDescent="0.2">
      <c r="A77" s="211" t="s">
        <v>40</v>
      </c>
      <c r="B77" s="212" t="s">
        <v>277</v>
      </c>
      <c r="C77" s="213"/>
      <c r="D77" s="213"/>
      <c r="E77" s="222" t="s">
        <v>352</v>
      </c>
    </row>
    <row r="78" spans="1:5" ht="159" customHeight="1" x14ac:dyDescent="0.2">
      <c r="A78" s="211" t="s">
        <v>93</v>
      </c>
      <c r="B78" s="212" t="s">
        <v>18</v>
      </c>
      <c r="C78" s="213"/>
      <c r="D78" s="213"/>
      <c r="E78" s="222" t="s">
        <v>583</v>
      </c>
    </row>
    <row r="79" spans="1:5" ht="33.75" customHeight="1" x14ac:dyDescent="0.2">
      <c r="A79" s="211" t="s">
        <v>92</v>
      </c>
      <c r="B79" s="212" t="s">
        <v>613</v>
      </c>
      <c r="C79" s="213"/>
      <c r="D79" s="213"/>
      <c r="E79" s="222" t="s">
        <v>660</v>
      </c>
    </row>
    <row r="80" spans="1:5" ht="33.75" customHeight="1" x14ac:dyDescent="0.2">
      <c r="A80" s="211" t="s">
        <v>549</v>
      </c>
      <c r="B80" s="212" t="s">
        <v>776</v>
      </c>
      <c r="C80" s="213"/>
      <c r="D80" s="213"/>
      <c r="E80" s="222" t="s">
        <v>162</v>
      </c>
    </row>
    <row r="82" spans="1:5" ht="12.75" customHeight="1" x14ac:dyDescent="0.2">
      <c r="A82" s="210" t="s">
        <v>815</v>
      </c>
      <c r="B82" s="210" t="s">
        <v>7</v>
      </c>
      <c r="C82" s="210" t="s">
        <v>69</v>
      </c>
      <c r="D82" s="210" t="s">
        <v>80</v>
      </c>
      <c r="E82" s="221" t="s">
        <v>482</v>
      </c>
    </row>
    <row r="83" spans="1:5" ht="125.25" customHeight="1" x14ac:dyDescent="0.2">
      <c r="A83" s="211" t="s">
        <v>694</v>
      </c>
      <c r="B83" s="214" t="s">
        <v>701</v>
      </c>
      <c r="C83" s="214" t="s">
        <v>389</v>
      </c>
      <c r="D83" s="214" t="s">
        <v>694</v>
      </c>
      <c r="E83" s="222" t="s">
        <v>617</v>
      </c>
    </row>
    <row r="84" spans="1:5" ht="12.75" customHeight="1" x14ac:dyDescent="0.2">
      <c r="A84" s="211" t="s">
        <v>82</v>
      </c>
      <c r="B84" s="215" t="s">
        <v>665</v>
      </c>
      <c r="D84" s="215" t="s">
        <v>694</v>
      </c>
    </row>
    <row r="85" spans="1:5" ht="12.75" customHeight="1" x14ac:dyDescent="0.2">
      <c r="A85" s="211" t="s">
        <v>329</v>
      </c>
      <c r="B85" s="215" t="s">
        <v>74</v>
      </c>
    </row>
    <row r="86" spans="1:5" ht="12.75" customHeight="1" x14ac:dyDescent="0.2">
      <c r="A86" s="211" t="s">
        <v>332</v>
      </c>
      <c r="B86" s="215" t="s">
        <v>786</v>
      </c>
    </row>
    <row r="87" spans="1:5" ht="12.75" customHeight="1" x14ac:dyDescent="0.2">
      <c r="A87" s="211" t="s">
        <v>109</v>
      </c>
      <c r="B87" s="215" t="s">
        <v>580</v>
      </c>
    </row>
    <row r="88" spans="1:5" ht="12.75" customHeight="1" x14ac:dyDescent="0.2">
      <c r="A88" s="211" t="s">
        <v>312</v>
      </c>
      <c r="B88" s="215" t="s">
        <v>110</v>
      </c>
    </row>
    <row r="90" spans="1:5" ht="102" customHeight="1" x14ac:dyDescent="0.2">
      <c r="A90" s="211" t="s">
        <v>611</v>
      </c>
      <c r="B90" s="214" t="s">
        <v>611</v>
      </c>
      <c r="C90" s="214" t="s">
        <v>389</v>
      </c>
      <c r="D90" s="214" t="s">
        <v>706</v>
      </c>
      <c r="E90" s="222" t="s">
        <v>612</v>
      </c>
    </row>
    <row r="91" spans="1:5" ht="12.75" customHeight="1" x14ac:dyDescent="0.2">
      <c r="A91" s="211" t="s">
        <v>293</v>
      </c>
      <c r="B91" s="215" t="s">
        <v>703</v>
      </c>
      <c r="D91" s="215" t="s">
        <v>706</v>
      </c>
    </row>
    <row r="92" spans="1:5" ht="12.75" customHeight="1" x14ac:dyDescent="0.2">
      <c r="A92" s="211" t="s">
        <v>531</v>
      </c>
      <c r="B92" s="215" t="s">
        <v>70</v>
      </c>
    </row>
    <row r="93" spans="1:5" ht="12.75" customHeight="1" x14ac:dyDescent="0.2">
      <c r="A93" s="211" t="s">
        <v>374</v>
      </c>
      <c r="B93" s="215" t="s">
        <v>788</v>
      </c>
    </row>
    <row r="94" spans="1:5" ht="12.75" customHeight="1" x14ac:dyDescent="0.2">
      <c r="A94" s="211" t="s">
        <v>252</v>
      </c>
      <c r="B94" s="215" t="s">
        <v>751</v>
      </c>
    </row>
    <row r="95" spans="1:5" ht="12.75" customHeight="1" x14ac:dyDescent="0.2">
      <c r="A95" s="211" t="s">
        <v>594</v>
      </c>
      <c r="B95" s="215" t="s">
        <v>424</v>
      </c>
    </row>
    <row r="97" spans="1:5" ht="12.75" customHeight="1" x14ac:dyDescent="0.2">
      <c r="A97" s="211" t="s">
        <v>734</v>
      </c>
      <c r="B97" s="214" t="s">
        <v>734</v>
      </c>
      <c r="C97" s="214" t="s">
        <v>389</v>
      </c>
      <c r="D97" s="214" t="s">
        <v>734</v>
      </c>
      <c r="E97" s="222" t="s">
        <v>251</v>
      </c>
    </row>
    <row r="98" spans="1:5" ht="12.75" customHeight="1" x14ac:dyDescent="0.2">
      <c r="A98" s="211" t="s">
        <v>346</v>
      </c>
      <c r="B98" s="215" t="s">
        <v>179</v>
      </c>
      <c r="D98" s="215" t="s">
        <v>734</v>
      </c>
    </row>
    <row r="99" spans="1:5" ht="12.75" customHeight="1" x14ac:dyDescent="0.2">
      <c r="A99" s="211" t="s">
        <v>310</v>
      </c>
      <c r="B99" s="215" t="s">
        <v>54</v>
      </c>
    </row>
    <row r="100" spans="1:5" ht="12.75" customHeight="1" x14ac:dyDescent="0.2">
      <c r="A100" s="211" t="s">
        <v>36</v>
      </c>
      <c r="B100" s="215" t="s">
        <v>769</v>
      </c>
    </row>
    <row r="102" spans="1:5" ht="147.75" customHeight="1" x14ac:dyDescent="0.2">
      <c r="A102" s="211" t="s">
        <v>72</v>
      </c>
      <c r="B102" s="214" t="s">
        <v>72</v>
      </c>
      <c r="C102" s="214" t="s">
        <v>389</v>
      </c>
      <c r="D102" s="214" t="s">
        <v>760</v>
      </c>
      <c r="E102" s="222" t="s">
        <v>50</v>
      </c>
    </row>
    <row r="103" spans="1:5" ht="12.75" customHeight="1" x14ac:dyDescent="0.2">
      <c r="A103" s="211" t="s">
        <v>491</v>
      </c>
      <c r="B103" s="215" t="s">
        <v>793</v>
      </c>
      <c r="C103" s="215" t="s">
        <v>543</v>
      </c>
      <c r="D103" s="215" t="s">
        <v>760</v>
      </c>
    </row>
    <row r="104" spans="1:5" ht="12.75" customHeight="1" x14ac:dyDescent="0.2">
      <c r="A104" s="211" t="s">
        <v>448</v>
      </c>
      <c r="B104" s="216" t="s">
        <v>347</v>
      </c>
      <c r="D104" s="216" t="s">
        <v>238</v>
      </c>
    </row>
    <row r="105" spans="1:5" ht="12.75" customHeight="1" x14ac:dyDescent="0.2">
      <c r="A105" s="211" t="s">
        <v>158</v>
      </c>
      <c r="B105" s="216" t="s">
        <v>807</v>
      </c>
    </row>
    <row r="106" spans="1:5" ht="12.75" customHeight="1" x14ac:dyDescent="0.2">
      <c r="A106" s="211" t="s">
        <v>455</v>
      </c>
      <c r="B106" s="215" t="s">
        <v>449</v>
      </c>
      <c r="C106" s="215" t="s">
        <v>543</v>
      </c>
    </row>
    <row r="107" spans="1:5" ht="12.75" customHeight="1" x14ac:dyDescent="0.2">
      <c r="A107" s="211" t="s">
        <v>158</v>
      </c>
      <c r="B107" s="216" t="s">
        <v>807</v>
      </c>
    </row>
    <row r="108" spans="1:5" ht="12.75" customHeight="1" x14ac:dyDescent="0.2">
      <c r="A108" s="211" t="s">
        <v>186</v>
      </c>
      <c r="B108" s="215" t="s">
        <v>295</v>
      </c>
    </row>
    <row r="109" spans="1:5" ht="12.75" customHeight="1" x14ac:dyDescent="0.2">
      <c r="A109" s="211" t="s">
        <v>511</v>
      </c>
      <c r="B109" s="215" t="s">
        <v>376</v>
      </c>
    </row>
    <row r="110" spans="1:5" ht="12.75" customHeight="1" x14ac:dyDescent="0.2">
      <c r="A110" s="211" t="s">
        <v>151</v>
      </c>
      <c r="B110" s="215" t="s">
        <v>759</v>
      </c>
      <c r="C110" s="215" t="s">
        <v>543</v>
      </c>
    </row>
    <row r="111" spans="1:5" ht="12.75" customHeight="1" x14ac:dyDescent="0.2">
      <c r="A111" s="211" t="s">
        <v>448</v>
      </c>
      <c r="B111" s="216" t="s">
        <v>347</v>
      </c>
    </row>
    <row r="112" spans="1:5" ht="12.75" customHeight="1" x14ac:dyDescent="0.2">
      <c r="A112" s="211" t="s">
        <v>158</v>
      </c>
      <c r="B112" s="216" t="s">
        <v>807</v>
      </c>
    </row>
  </sheetData>
  <mergeCells count="3">
    <mergeCell ref="A1:D1"/>
    <mergeCell ref="A2:D2"/>
    <mergeCell ref="A3:D3"/>
  </mergeCells>
  <pageMargins left="0.25" right="0.25" top="0.5" bottom="0.5" header="0.5" footer="0.5"/>
  <pageSetup paperSize="9" fitToHeight="32767"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heetViews>
  <sheetFormatPr defaultRowHeight="12.75" customHeight="1" x14ac:dyDescent="0.2"/>
  <sheetData>
    <row r="1" spans="1:9" ht="12.75" customHeight="1" x14ac:dyDescent="0.2">
      <c r="A1" s="217">
        <f>Investment!D12</f>
        <v>0</v>
      </c>
      <c r="B1" s="217">
        <f>Investment!D13</f>
        <v>0</v>
      </c>
      <c r="C1" s="217">
        <f>Investment!D16</f>
        <v>0</v>
      </c>
      <c r="D1" s="217">
        <f>Investment!D18</f>
        <v>1000000</v>
      </c>
      <c r="E1" s="217">
        <f>Investment!D19</f>
        <v>0</v>
      </c>
      <c r="F1" s="217">
        <f>Investment!D21</f>
        <v>0</v>
      </c>
      <c r="G1" s="217">
        <f>Investment!D22</f>
        <v>0</v>
      </c>
    </row>
    <row r="2" spans="1:9" ht="12.75" customHeight="1" x14ac:dyDescent="0.2">
      <c r="A2" s="217">
        <f>Payout!B43</f>
        <v>0</v>
      </c>
      <c r="B2" s="217">
        <f>Payout!B44</f>
        <v>0</v>
      </c>
      <c r="C2" s="217">
        <f>Payout!B47</f>
        <v>0</v>
      </c>
      <c r="D2" s="217">
        <f>Payout!C47</f>
        <v>0</v>
      </c>
      <c r="E2" s="217">
        <f>Payout!D47</f>
        <v>0</v>
      </c>
      <c r="F2" s="217">
        <f>Payout!B49</f>
        <v>1000001</v>
      </c>
      <c r="G2" s="217">
        <f>Payout!B50</f>
        <v>0</v>
      </c>
      <c r="H2" s="217">
        <f>Payout!B52</f>
        <v>0</v>
      </c>
      <c r="I2" s="217">
        <f>Payout!B53</f>
        <v>0</v>
      </c>
    </row>
    <row r="3" spans="1:9" ht="12.75" customHeight="1" x14ac:dyDescent="0.2">
      <c r="A3" s="218">
        <f>Investment!F12</f>
        <v>0</v>
      </c>
      <c r="B3" s="218">
        <f>Investment!F13</f>
        <v>0</v>
      </c>
      <c r="C3" s="218">
        <f>Investment!F16</f>
        <v>0</v>
      </c>
      <c r="D3" s="218">
        <f>Investment!F18</f>
        <v>1000000</v>
      </c>
      <c r="E3" s="218">
        <f>Investment!F19</f>
        <v>0</v>
      </c>
      <c r="F3" s="218">
        <f>Investment!F21</f>
        <v>0</v>
      </c>
      <c r="G3" s="218">
        <f>Investment!F22</f>
        <v>0</v>
      </c>
    </row>
    <row r="4" spans="1:9" ht="12.75" customHeight="1" x14ac:dyDescent="0.2">
      <c r="A4" s="217">
        <f>Payout!D8</f>
        <v>0</v>
      </c>
      <c r="B4" s="217">
        <f>Payout!D9</f>
        <v>0</v>
      </c>
      <c r="C4" s="217">
        <f>Payout!D12</f>
        <v>0</v>
      </c>
      <c r="D4" s="217">
        <f>Payout!D14</f>
        <v>1000000</v>
      </c>
      <c r="E4" s="217">
        <f>Payout!D15</f>
        <v>0</v>
      </c>
      <c r="F4" s="217">
        <f>Payout!D17</f>
        <v>0</v>
      </c>
      <c r="G4" s="217">
        <f>Payout!D18</f>
        <v>0</v>
      </c>
    </row>
    <row r="5" spans="1:9" ht="12.75" customHeight="1" x14ac:dyDescent="0.2">
      <c r="A5" s="219" t="str">
        <f>'Plot Support'!B8</f>
        <v>Conv Note, Series B</v>
      </c>
      <c r="B5" s="219" t="str">
        <f>'Plot Support'!B9</f>
        <v>Conv Note, Series A</v>
      </c>
      <c r="C5" s="219" t="str">
        <f>'Plot Support'!B11</f>
        <v>Preferred, Series A</v>
      </c>
      <c r="D5" s="219" t="str">
        <f>'Plot Support'!B12</f>
        <v>Common</v>
      </c>
      <c r="E5" s="219" t="str">
        <f>'Plot Support'!B13</f>
        <v>Warrant</v>
      </c>
      <c r="F5" s="219" t="str">
        <f>'Plot Support'!B15</f>
        <v>Option, Series B</v>
      </c>
      <c r="G5" s="219" t="str">
        <f>'Plot Support'!B16</f>
        <v>Option, Series A</v>
      </c>
    </row>
    <row r="7" spans="1:9" ht="12.75" customHeight="1" x14ac:dyDescent="0.2">
      <c r="A7" s="220" t="s">
        <v>435</v>
      </c>
    </row>
    <row r="8" spans="1:9" ht="12.75" customHeight="1" x14ac:dyDescent="0.2">
      <c r="A8" t="s">
        <v>640</v>
      </c>
    </row>
    <row r="9" spans="1:9" ht="12.75" customHeight="1" x14ac:dyDescent="0.2">
      <c r="A9" s="220" t="s">
        <v>818</v>
      </c>
    </row>
    <row r="10" spans="1:9" ht="12.75" customHeight="1" x14ac:dyDescent="0.2">
      <c r="A10" s="220" t="s">
        <v>685</v>
      </c>
    </row>
    <row r="11" spans="1:9" ht="12.75" customHeight="1" x14ac:dyDescent="0.2">
      <c r="A11" s="220" t="s">
        <v>475</v>
      </c>
    </row>
    <row r="12" spans="1:9" ht="12.75" customHeight="1" x14ac:dyDescent="0.2">
      <c r="A12" s="220" t="s">
        <v>212</v>
      </c>
    </row>
    <row r="13" spans="1:9" ht="12.75" customHeight="1" x14ac:dyDescent="0.2">
      <c r="A13" s="220" t="s">
        <v>136</v>
      </c>
    </row>
    <row r="14" spans="1:9" ht="12.75" customHeight="1" x14ac:dyDescent="0.2">
      <c r="A14" s="220" t="s">
        <v>401</v>
      </c>
    </row>
    <row r="15" spans="1:9" ht="12.75" customHeight="1" x14ac:dyDescent="0.2">
      <c r="A15" s="220" t="s">
        <v>631</v>
      </c>
    </row>
    <row r="16" spans="1:9" ht="12.75" customHeight="1" x14ac:dyDescent="0.2">
      <c r="A16" s="220" t="s">
        <v>249</v>
      </c>
    </row>
    <row r="17" spans="1:1" ht="12.75" customHeight="1" x14ac:dyDescent="0.2">
      <c r="A17" s="220" t="s">
        <v>342</v>
      </c>
    </row>
    <row r="18" spans="1:1" ht="12.75" customHeight="1" x14ac:dyDescent="0.2">
      <c r="A18" s="220" t="s">
        <v>746</v>
      </c>
    </row>
    <row r="19" spans="1:1" ht="12.75" customHeight="1" x14ac:dyDescent="0.2">
      <c r="A19" s="220" t="s">
        <v>211</v>
      </c>
    </row>
    <row r="20" spans="1:1" ht="12.75" customHeight="1" x14ac:dyDescent="0.2">
      <c r="A20" s="220" t="s">
        <v>392</v>
      </c>
    </row>
    <row r="21" spans="1:1" ht="12.75" customHeight="1" x14ac:dyDescent="0.2">
      <c r="A21" s="220" t="s">
        <v>144</v>
      </c>
    </row>
    <row r="22" spans="1:1" ht="12.75" customHeight="1" x14ac:dyDescent="0.2">
      <c r="A22" s="220" t="s">
        <v>125</v>
      </c>
    </row>
    <row r="23" spans="1:1" ht="12.75" customHeight="1" x14ac:dyDescent="0.2">
      <c r="A23" s="220" t="s">
        <v>774</v>
      </c>
    </row>
    <row r="24" spans="1:1" ht="12.75" customHeight="1" x14ac:dyDescent="0.2">
      <c r="A24" s="220" t="s">
        <v>472</v>
      </c>
    </row>
    <row r="25" spans="1:1" ht="12.75" customHeight="1" x14ac:dyDescent="0.2">
      <c r="A25" s="220" t="s">
        <v>647</v>
      </c>
    </row>
    <row r="26" spans="1:1" ht="12.75" customHeight="1" x14ac:dyDescent="0.2">
      <c r="A26" s="220" t="s">
        <v>362</v>
      </c>
    </row>
    <row r="27" spans="1:1" ht="12.75" customHeight="1" x14ac:dyDescent="0.2">
      <c r="A27" s="220" t="s">
        <v>672</v>
      </c>
    </row>
  </sheetData>
  <pageMargins left="0.75" right="0.75" top="1" bottom="1" header="0.5" footer="0.5"/>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
  <sheetViews>
    <sheetView zoomScaleNormal="100" workbookViewId="0"/>
  </sheetViews>
  <sheetFormatPr defaultRowHeight="12.75" customHeight="1" x14ac:dyDescent="0.2"/>
  <sheetData>
    <row r="1" spans="1:64" ht="12.75" customHeight="1" x14ac:dyDescent="0.2">
      <c r="A1" t="s">
        <v>403</v>
      </c>
      <c r="B1" t="str">
        <f>Labels!B70</f>
        <v>Share Price</v>
      </c>
      <c r="C1" t="s">
        <v>348</v>
      </c>
      <c r="D1" t="str">
        <f>Labels!E70</f>
        <v xml:space="preserve">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
      </c>
      <c r="E1" t="s">
        <v>45</v>
      </c>
      <c r="F1" t="str">
        <f>Labels!B47</f>
        <v>Liq Multiple</v>
      </c>
      <c r="G1" t="s">
        <v>95</v>
      </c>
      <c r="H1" t="str">
        <f>Labels!E47</f>
        <v>The multiple of new investment that is added to liquidation preference for each class of security, in each investment round</v>
      </c>
      <c r="I1" t="s">
        <v>73</v>
      </c>
      <c r="J1" t="str">
        <f>Labels!B20</f>
        <v>Event Date</v>
      </c>
      <c r="K1" t="s">
        <v>197</v>
      </c>
      <c r="L1" t="str">
        <f>Labels!E20</f>
        <v>Date of each investment round, determined by investment scenario selected</v>
      </c>
      <c r="M1" t="s">
        <v>383</v>
      </c>
      <c r="N1" t="str">
        <f>Labels!B24</f>
        <v>Firm Value Start</v>
      </c>
      <c r="O1" t="s">
        <v>724</v>
      </c>
      <c r="P1" t="str">
        <f>Labels!E24</f>
        <v>Valuation of the firm at the start of each investment round</v>
      </c>
      <c r="Q1" t="s">
        <v>447</v>
      </c>
      <c r="R1" t="str">
        <f>Labels!B19</f>
        <v>Dividend % (Yr)</v>
      </c>
      <c r="S1" t="s">
        <v>77</v>
      </c>
      <c r="T1" t="str">
        <f>Labels!E19</f>
        <v>Dividend rate for preferred stock, and interest rate paid on convertible notes before conversion</v>
      </c>
      <c r="U1" t="s">
        <v>749</v>
      </c>
      <c r="V1" t="str">
        <f>Labels!B77</f>
        <v>Split Factor</v>
      </c>
      <c r="W1" t="s">
        <v>465</v>
      </c>
      <c r="X1" t="str">
        <f>Labels!E77</f>
        <v>Factor by which common shares are split before the start of each investment round</v>
      </c>
      <c r="Y1" t="s">
        <v>225</v>
      </c>
      <c r="Z1" t="str">
        <f>Labels!B22</f>
        <v>Firm Value</v>
      </c>
      <c r="AA1" t="s">
        <v>368</v>
      </c>
      <c r="AB1" t="str">
        <f>Labels!E22</f>
        <v>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v>
      </c>
      <c r="AC1" t="s">
        <v>517</v>
      </c>
      <c r="AD1" t="str">
        <f>Labels!B65</f>
        <v>Initial Common Price</v>
      </c>
      <c r="AE1" t="s">
        <v>657</v>
      </c>
      <c r="AF1" t="str">
        <f>Labels!E65</f>
        <v>Initial common share price at the start of the seed round</v>
      </c>
      <c r="AG1" t="s">
        <v>378</v>
      </c>
      <c r="AH1" t="str">
        <f>Labels!B15</f>
        <v>Dividend</v>
      </c>
      <c r="AI1" t="s">
        <v>51</v>
      </c>
      <c r="AJ1" t="str">
        <f>Labels!E15</f>
        <v>Dividend in kind for convertible notes (before conversion), preferred stock (before conversion), and common stock, paid at start of each investment round</v>
      </c>
      <c r="AK1" t="s">
        <v>343</v>
      </c>
      <c r="AL1" t="str">
        <f>Labels!B71</f>
        <v>Return Multiple</v>
      </c>
      <c r="AM1" t="s">
        <v>19</v>
      </c>
      <c r="AN1" t="str">
        <f>Labels!E71</f>
        <v>The multiple of investment (ex-dividends) that each type of security gets. This is a straight multiple with no discounting for the time value of money. The value of founders' noncash contributions are included as investments in this computation.</v>
      </c>
      <c r="AO1" t="s">
        <v>814</v>
      </c>
      <c r="AP1" t="str">
        <f>Labels!B38</f>
        <v>Investment by Origin</v>
      </c>
      <c r="AQ1" t="s">
        <v>809</v>
      </c>
      <c r="AR1" t="str">
        <f>Labels!E38</f>
        <v>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v>
      </c>
      <c r="AS1" t="s">
        <v>15</v>
      </c>
      <c r="AT1" t="str">
        <f>Labels!B10</f>
        <v>Trigger Invest</v>
      </c>
      <c r="AU1" t="s">
        <v>47</v>
      </c>
      <c r="AV1" t="str">
        <f>Labels!E10</f>
        <v>Minimum amount of equity capital that the company must raise before securities can be converted or exercised to obtain common stock. An amount greater than the capitalization of the company indicates that the security cannot be converted (or exercised).</v>
      </c>
      <c r="AW1" t="s">
        <v>758</v>
      </c>
      <c r="AX1" t="str">
        <f>Labels!B13</f>
        <v>Conv Discount %</v>
      </c>
      <c r="AY1" t="s">
        <v>536</v>
      </c>
      <c r="AZ1" t="str">
        <f>Labels!E13</f>
        <v>The discount percent on prevailing common share price that accrue to holders of each series of convertible security at the time of conversion or exercise. This discount is a reward for investing early when the risk was presumed higher.</v>
      </c>
      <c r="BA1" t="s">
        <v>459</v>
      </c>
      <c r="BB1" t="str">
        <f>Labels!B9</f>
        <v>Trigger Date</v>
      </c>
      <c r="BC1" t="s">
        <v>782</v>
      </c>
      <c r="BD1" t="str">
        <f>Labels!E9</f>
        <v>Date at which securities can first be converted or exercised to obtain common stock. A date beyond the end of model time indicates that there is no trigger date for conversion of the security.</v>
      </c>
      <c r="BE1" t="s">
        <v>579</v>
      </c>
      <c r="BF1" t="str">
        <f>Labels!B63</f>
        <v>Payout Pool</v>
      </c>
      <c r="BG1" t="s">
        <v>356</v>
      </c>
      <c r="BH1" t="str">
        <f>Labels!E63</f>
        <v>The amount of funds available for payout to each type of security at phase End (after conversion of notes and exercise of warrants and options), in each investment round. The common payout pool covers common shares, including exercised warrants and options.</v>
      </c>
      <c r="BI1" t="s">
        <v>467</v>
      </c>
      <c r="BJ1" t="str">
        <f>Labels!B59</f>
        <v>Payout</v>
      </c>
      <c r="BK1" t="s">
        <v>430</v>
      </c>
      <c r="BL1" t="str">
        <f>Labels!E59</f>
        <v>The amount of funds that would be paid to each type of security if liquidation occurs at the end of an investment round. Warrants and options are exercised if they are in the money. The common payout pool covers common shares, including exercised warrants and options.</v>
      </c>
    </row>
    <row r="2" spans="1:64" ht="12.75" customHeight="1" x14ac:dyDescent="0.2">
      <c r="A2" t="s">
        <v>504</v>
      </c>
      <c r="B2" t="str">
        <f>Labels!B60</f>
        <v>Payout %</v>
      </c>
      <c r="C2" t="s">
        <v>391</v>
      </c>
      <c r="D2" t="str">
        <f>Labels!E60</f>
        <v>The percentage of the entire payout that is paid to each type of security in the final (exit) round</v>
      </c>
      <c r="E2" t="s">
        <v>752</v>
      </c>
      <c r="F2" t="str">
        <f>Labels!B12</f>
        <v>% Converting</v>
      </c>
      <c r="G2" t="s">
        <v>30</v>
      </c>
      <c r="H2" t="str">
        <f>Labels!E12</f>
        <v>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v>
      </c>
      <c r="I2" t="s">
        <v>241</v>
      </c>
      <c r="J2" t="str">
        <f>Labels!B67</f>
        <v>Conversion Price</v>
      </c>
      <c r="K2" t="s">
        <v>650</v>
      </c>
      <c r="L2" t="str">
        <f>Labels!E67</f>
        <v>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v>
      </c>
      <c r="M2" t="s">
        <v>42</v>
      </c>
      <c r="N2" t="str">
        <f>Labels!B28</f>
        <v>Invest by Origin ex-Dividend</v>
      </c>
      <c r="O2" t="s">
        <v>397</v>
      </c>
      <c r="P2" t="str">
        <f>Labels!E28</f>
        <v>Gross investment including value of converted securities, and excluding preferred dividends and interest payments on notes, segmented by type of security, by investment round</v>
      </c>
      <c r="Q2" t="s">
        <v>153</v>
      </c>
      <c r="R2" t="str">
        <f>Labels!B78</f>
        <v>Net Units</v>
      </c>
      <c r="S2" t="s">
        <v>636</v>
      </c>
      <c r="T2" t="str">
        <f>Labels!E78</f>
        <v>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v>
      </c>
      <c r="U2" t="s">
        <v>709</v>
      </c>
      <c r="V2" t="str">
        <f>Labels!B5</f>
        <v>Company Name</v>
      </c>
      <c r="W2" t="s">
        <v>570</v>
      </c>
      <c r="X2" t="str">
        <f>Labels!E5</f>
        <v>Name of the company</v>
      </c>
      <c r="Y2" t="s">
        <v>191</v>
      </c>
      <c r="Z2" t="str">
        <f>Labels!B48</f>
        <v>Liquidation Preference</v>
      </c>
      <c r="AA2" t="s">
        <v>683</v>
      </c>
      <c r="AB2" t="str">
        <f>Labels!E48</f>
        <v>The amount of liquidiation preference that is due to each class of security (before anything is paid to holders of junior securities, in the event of liquidiation), at the last phase (End) of each round</v>
      </c>
      <c r="AC2" t="s">
        <v>725</v>
      </c>
      <c r="AD2" t="str">
        <f>Labels!B39</f>
        <v>Net Investment</v>
      </c>
      <c r="AE2" t="s">
        <v>608</v>
      </c>
      <c r="AF2" t="str">
        <f>Labels!E39</f>
        <v>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v>
      </c>
      <c r="AG2" t="s">
        <v>649</v>
      </c>
      <c r="AH2" t="str">
        <f>Labels!B42</f>
        <v>New Investment</v>
      </c>
      <c r="AI2" t="s">
        <v>554</v>
      </c>
      <c r="AJ2" t="str">
        <f>Labels!E42</f>
        <v>New investments due to sale of new convertible notes, preferred and common shares, by investment round. New warrants and options are tracked in variable Shares_New because they are specified by number of new shares, not new investment.</v>
      </c>
      <c r="AK2" t="s">
        <v>163</v>
      </c>
      <c r="AL2" t="str">
        <f>Labels!B79</f>
        <v>New Units Sold</v>
      </c>
      <c r="AM2" t="s">
        <v>699</v>
      </c>
      <c r="AN2" t="str">
        <f>Labels!E79</f>
        <v>Numbers of new warrants and options sold, by investment round. Sales of new convertible notes, preferred stock and common stock are input as new investment, from which new shares are computed.</v>
      </c>
      <c r="AO2" t="s">
        <v>61</v>
      </c>
      <c r="AP2" t="str">
        <f>Labels!B52</f>
        <v>Exercise Amt</v>
      </c>
      <c r="AQ2" t="s">
        <v>34</v>
      </c>
      <c r="AR2" t="str">
        <f>Labels!E52</f>
        <v>The amount of exercise payments due upon exercise of outstanding warrants and options. For Phase Convert, the amount of exercise payments made to exercise warrants and options in each round.</v>
      </c>
      <c r="AS2" t="s">
        <v>245</v>
      </c>
      <c r="AT2" t="str">
        <f>Labels!B53</f>
        <v>Exercise Price</v>
      </c>
      <c r="AU2" t="s">
        <v>420</v>
      </c>
      <c r="AV2" t="str">
        <f>Labels!E53</f>
        <v>Exercise price for each class of stock option. Upon exercise of a warrant or option, the holder pays the exercise price to the company in cash, which amount is added to Investment by Origin for the warrant or option, and added to Net Investment for common stock.</v>
      </c>
      <c r="AW2" t="s">
        <v>632</v>
      </c>
      <c r="AX2" t="str">
        <f>Labels!B68</f>
        <v>Price New Unit</v>
      </c>
      <c r="AY2" t="s">
        <v>601</v>
      </c>
      <c r="AZ2" t="str">
        <f>Labels!E68</f>
        <v>Price at which new warrants and options are purchased. Warrant and option prices are based on current stock price, ignoring the variance of stock price over time.</v>
      </c>
      <c r="BA2" t="s">
        <v>119</v>
      </c>
      <c r="BB2" t="str">
        <f>Labels!B69</f>
        <v>New Unit Price %</v>
      </c>
      <c r="BC2" t="s">
        <v>434</v>
      </c>
      <c r="BD2" t="str">
        <f>Labels!E69</f>
        <v>Ratio (price at which new units are purchased) / (common share price - exercise price).</v>
      </c>
      <c r="BE2" t="s">
        <v>283</v>
      </c>
      <c r="BF2" t="str">
        <f>Labels!B11</f>
        <v>Trigger Value %</v>
      </c>
      <c r="BG2" t="s">
        <v>142</v>
      </c>
      <c r="BH2" t="str">
        <f>Labels!E11</f>
        <v>Maximum fraction of the value of a firm that can be in senior securities in order that a series of convertible securities converts. (Other conversion criteria involve dates and minimum equity funding raised by the company.)</v>
      </c>
      <c r="BI2" t="s">
        <v>789</v>
      </c>
      <c r="BJ2" t="str">
        <f>Labels!B66</f>
        <v>Price Premium %</v>
      </c>
      <c r="BK2" t="s">
        <v>388</v>
      </c>
      <c r="BL2" t="str">
        <f>Labels!E66</f>
        <v>Price premium for a preferred share unit over common stock at time of purchase. The premium reflects the contingent value of preference payments and preference dividends.</v>
      </c>
    </row>
    <row r="3" spans="1:64" ht="12.75" customHeight="1" x14ac:dyDescent="0.2">
      <c r="A3" t="s">
        <v>432</v>
      </c>
      <c r="B3" t="str">
        <f>Labels!B76</f>
        <v>Common Shares by Origin</v>
      </c>
      <c r="C3" t="s">
        <v>372</v>
      </c>
      <c r="D3" t="str">
        <f>Labels!E76</f>
        <v>Number of common shares that originated from conversion or exercise of each type of security or sale of common shares, recorded at the end of each investment round</v>
      </c>
      <c r="E3" t="s">
        <v>269</v>
      </c>
      <c r="F3" t="str">
        <f>Labels!B55</f>
        <v>Payout by Origin</v>
      </c>
      <c r="G3" t="s">
        <v>707</v>
      </c>
      <c r="H3" t="str">
        <f>Labels!E55</f>
        <v>Funds paid out that are imputed (if paid) to original investments in each type of security, at the end of each investment round. Warrants and options are exercised if they are in the money. The common payout pool covers common shares, including exercised warrants and options.</v>
      </c>
      <c r="I3" t="s">
        <v>254</v>
      </c>
      <c r="J3" t="str">
        <f>Labels!B57</f>
        <v>Payout by Origin %</v>
      </c>
      <c r="K3" t="s">
        <v>400</v>
      </c>
      <c r="L3" t="str">
        <f>Labels!E57</f>
        <v>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v>
      </c>
      <c r="M3" t="s">
        <v>344</v>
      </c>
      <c r="N3" t="str">
        <f>Labels!B54</f>
        <v>Units 'in the Money'</v>
      </c>
      <c r="O3" t="s">
        <v>121</v>
      </c>
      <c r="P3" t="str">
        <f>Labels!E54</f>
        <v>Number of unexercised warrants and options that are in the money in phase End, for each investment round. Used in variable Payout in denominators of formulas.</v>
      </c>
      <c r="Q3" t="s">
        <v>64</v>
      </c>
      <c r="R3" t="str">
        <f>Labels!B18</f>
        <v>Dividend Common</v>
      </c>
      <c r="S3" t="s">
        <v>264</v>
      </c>
      <c r="T3" t="str">
        <f>Labels!E18</f>
        <v>Dividend paid on common stock, paid at the beginning of each investment round</v>
      </c>
      <c r="U3" t="s">
        <v>278</v>
      </c>
      <c r="V3" t="str">
        <f>Labels!B16</f>
        <v>Dividend by Origin</v>
      </c>
      <c r="W3" t="s">
        <v>13</v>
      </c>
      <c r="X3" t="str">
        <f>Labels!E16</f>
        <v>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v>
      </c>
      <c r="Y3" t="s">
        <v>207</v>
      </c>
      <c r="Z3" t="str">
        <f>Labels!B44</f>
        <v>Cash Flow</v>
      </c>
      <c r="AA3" t="s">
        <v>630</v>
      </c>
      <c r="AB3" t="str">
        <f>Labels!E44</f>
        <v>Cash flows used to compute present values and internal rates of return for each series and type of security. Includes founders non-cash contributions in the first round and payouts in the last round.</v>
      </c>
      <c r="AC3" t="s">
        <v>41</v>
      </c>
      <c r="AD3" t="str">
        <f>Labels!B14</f>
        <v>Discount Rate (Yr)</v>
      </c>
      <c r="AE3" t="s">
        <v>812</v>
      </c>
      <c r="AF3" t="str">
        <f>Labels!E14</f>
        <v>Annualized discount rates used in computation of present values of investor cash flows</v>
      </c>
      <c r="AG3" t="s">
        <v>819</v>
      </c>
      <c r="AH3" t="str">
        <f>Labels!B51</f>
        <v>Net Present Value</v>
      </c>
      <c r="AI3" t="s">
        <v>823</v>
      </c>
      <c r="AJ3" t="str">
        <f>Labels!E51</f>
        <v>Net present value of cash flows to each series of each type of security. Each series and type of security can have its own discount rate to reflect different risks.</v>
      </c>
      <c r="AK3" t="s">
        <v>652</v>
      </c>
      <c r="AL3" t="str">
        <f>Labels!B46</f>
        <v>IRR (Yr)</v>
      </c>
      <c r="AM3" t="s">
        <v>458</v>
      </c>
      <c r="AN3" t="str">
        <f>Labels!E46</f>
        <v>Internal rate of return of cash flow to holders of each series and type of security. Includes new investments, exercise payments (for warrants and options) and final payout at the end of the last investment round.</v>
      </c>
      <c r="AO3" t="s">
        <v>242</v>
      </c>
      <c r="AP3" t="str">
        <f>Labels!B45</f>
        <v>IRR Initial Guess (Yr)</v>
      </c>
      <c r="AQ3" t="s">
        <v>770</v>
      </c>
      <c r="AR3" t="str">
        <f>Labels!E45</f>
        <v>Initial guess at internal rate of return of the cash flow for holders of each series and type of security, to start the iterative solution for the IRR</v>
      </c>
      <c r="AS3" t="s">
        <v>662</v>
      </c>
      <c r="AT3" t="str">
        <f>Labels!B21</f>
        <v>Event Date</v>
      </c>
      <c r="AU3" t="s">
        <v>0</v>
      </c>
      <c r="AV3" t="str">
        <f>Labels!E21</f>
        <v>Date of each investment round</v>
      </c>
      <c r="AW3" t="s">
        <v>150</v>
      </c>
      <c r="AX3" t="str">
        <f>Labels!B25</f>
        <v>Firm Value</v>
      </c>
      <c r="AY3" t="s">
        <v>128</v>
      </c>
      <c r="AZ3" t="str">
        <f>Labels!E25</f>
        <v>Valuation of the firm at the start of each investment round</v>
      </c>
      <c r="BA3" t="s">
        <v>642</v>
      </c>
      <c r="BB3" t="str">
        <f>Labels!B43</f>
        <v>New Investment</v>
      </c>
      <c r="BC3" t="s">
        <v>729</v>
      </c>
      <c r="BD3" t="str">
        <f>Labels!E43</f>
        <v>New investments due to sale of new convertible notes, preferred and common shares, by investment round; investment scenario 1. New warrants and options are tracked in variable Shares_New because they are specified by number of new shares, not new investment.</v>
      </c>
      <c r="BE3" t="s">
        <v>122</v>
      </c>
      <c r="BF3" t="str">
        <f>Labels!B80</f>
        <v>New Units</v>
      </c>
      <c r="BG3" t="s">
        <v>194</v>
      </c>
      <c r="BH3" t="str">
        <f>Labels!E80</f>
        <v>Numbers of new warrants and options sold, by investment round, for investment scenario 1. Sales of new convertible notes, preferred stock and common stock are input as new investment, from which new shares are computed.</v>
      </c>
      <c r="BI3" t="s">
        <v>288</v>
      </c>
      <c r="BJ3" t="str">
        <f>Labels!B29</f>
        <v>Invest by Origin ex-Div</v>
      </c>
      <c r="BK3" t="s">
        <v>138</v>
      </c>
      <c r="BL3" t="str">
        <f>Labels!E29</f>
        <v>Gross investment including value of converted securities, and excluding preferred dividends and interest payments on notes, segmented by type of security, by investment round</v>
      </c>
    </row>
    <row r="4" spans="1:64" ht="12.75" customHeight="1" x14ac:dyDescent="0.2">
      <c r="A4" t="s">
        <v>712</v>
      </c>
      <c r="B4" t="str">
        <f>Labels!B56</f>
        <v>Payout by Origin</v>
      </c>
      <c r="C4" t="s">
        <v>176</v>
      </c>
      <c r="D4" t="str">
        <f>Labels!E56</f>
        <v>Funds paid out that are imputed (if paid) to original investments in each type of security, at the end of the last investment round. Warrants and options are exercised if they are in the money. The common payout pool covers common shares, including exercised warrants and options.</v>
      </c>
      <c r="E4" t="s">
        <v>730</v>
      </c>
      <c r="F4" t="str">
        <f>Labels!B58</f>
        <v>Payout by Origin %</v>
      </c>
      <c r="G4" t="s">
        <v>99</v>
      </c>
      <c r="H4" t="str">
        <f>Labels!E58</f>
        <v>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v>
      </c>
      <c r="I4" t="s">
        <v>634</v>
      </c>
      <c r="J4" t="str">
        <f>Labels!B74</f>
        <v>Scenarios_Value_Dim</v>
      </c>
      <c r="K4" t="s">
        <v>281</v>
      </c>
      <c r="L4">
        <f>Labels!E74</f>
        <v>0</v>
      </c>
      <c r="M4" t="s">
        <v>272</v>
      </c>
      <c r="N4" t="str">
        <f>Labels!B73</f>
        <v>Investment Scenarios</v>
      </c>
      <c r="O4" t="s">
        <v>155</v>
      </c>
      <c r="P4">
        <f>Labels!E73</f>
        <v>0</v>
      </c>
      <c r="Q4" t="s">
        <v>83</v>
      </c>
      <c r="R4" t="str">
        <f>Labels!B7</f>
        <v>Conversion Decisions Detail</v>
      </c>
      <c r="S4" t="s">
        <v>395</v>
      </c>
      <c r="T4" t="str">
        <f>Labels!E7</f>
        <v>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v>
      </c>
      <c r="U4" t="s">
        <v>698</v>
      </c>
      <c r="V4" t="str">
        <f>Labels!B6</f>
        <v>Default Conversion Decisions</v>
      </c>
      <c r="W4" t="s">
        <v>377</v>
      </c>
      <c r="X4" t="str">
        <f>Labels!E6</f>
        <v>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v>
      </c>
      <c r="Y4" t="s">
        <v>190</v>
      </c>
      <c r="Z4" t="str">
        <f>Labels!B8</f>
        <v>Liq Premium %</v>
      </c>
      <c r="AA4" t="s">
        <v>248</v>
      </c>
      <c r="AB4" t="str">
        <f>Labels!E8</f>
        <v>Conversion of securities to common stock must produce this value premium over liquidation preference, in order for the default conversion condition to be satisfied. If &lt; 0, then the company has the right to convert the security to common stock when all the conditions are met.</v>
      </c>
      <c r="AC4" t="s">
        <v>761</v>
      </c>
      <c r="AD4" t="str">
        <f>Labels!B50</f>
        <v>Liq Preference New</v>
      </c>
      <c r="AE4" t="s">
        <v>503</v>
      </c>
      <c r="AF4" t="str">
        <f>Labels!E50</f>
        <v>The amount of new liquidiation preference that is due to each class of security (before anything is paid to holders of junior securities, in the event of liquidiation), at the last phase (End) of each round</v>
      </c>
      <c r="AG4" t="s">
        <v>189</v>
      </c>
      <c r="AH4" t="str">
        <f>Labels!B64</f>
        <v>Payout Pool</v>
      </c>
      <c r="AI4" t="s">
        <v>66</v>
      </c>
      <c r="AJ4" t="str">
        <f>Labels!E64</f>
        <v>The amount of funds available for payout to each type of security at phase End (after conversion of notes and exercise of warrants and options) of the last investment round. The common payout pool covers common shares, including exercised warrants and options.</v>
      </c>
      <c r="AK4" t="s">
        <v>303</v>
      </c>
      <c r="AL4" t="str">
        <f>Labels!B49</f>
        <v>Liq Preference</v>
      </c>
      <c r="AM4" t="s">
        <v>387</v>
      </c>
      <c r="AN4" t="str">
        <f>Labels!E49</f>
        <v>The amount of liquidiation preference that is due to each class of security (before anything is paid to holders of junior securities, in the event of liquidiation), at the last phase (End) of  the last round</v>
      </c>
      <c r="AO4" t="s">
        <v>59</v>
      </c>
      <c r="AP4" t="str">
        <f>Labels!B61</f>
        <v>Payout</v>
      </c>
      <c r="AQ4" t="s">
        <v>720</v>
      </c>
      <c r="AR4" t="str">
        <f>Labels!E61</f>
        <v>The amount of funds that would be paid to each type of security if liquidation occurs at the end of the last investment round. Warrants and options are exercised if they are in the money. The common payout pool covers common shares, including exercised warrants and options.</v>
      </c>
      <c r="AS4" t="s">
        <v>524</v>
      </c>
      <c r="AT4" t="str">
        <f>Labels!B62</f>
        <v>Payout %</v>
      </c>
      <c r="AU4" t="s">
        <v>691</v>
      </c>
      <c r="AV4" t="str">
        <f>Labels!E62</f>
        <v>The percentage of the entire payout that is paid to each type of security in the final (exit) round</v>
      </c>
      <c r="AW4" t="s">
        <v>100</v>
      </c>
      <c r="AX4" t="str">
        <f>Labels!B17</f>
        <v>Dividend by Origin</v>
      </c>
      <c r="AY4" t="s">
        <v>653</v>
      </c>
      <c r="AZ4" t="str">
        <f>Labels!E17</f>
        <v>Dividend in kind for convertible notes (before conversion), preferred stock (before conversion), and common stock, paid at start of lsat investment round. The dividends are segmented by the original type and series of security whose purchase earned the dividend (not by the current type and series of security that earned the dividend).</v>
      </c>
      <c r="BA4" t="s">
        <v>490</v>
      </c>
      <c r="BB4" t="str">
        <f>Labels!B41</f>
        <v>Net New Invest</v>
      </c>
      <c r="BC4" t="s">
        <v>9</v>
      </c>
      <c r="BD4" t="str">
        <f>Labels!E41</f>
        <v>Net new investment in each investment round, segmented by type of security. Used in plots.</v>
      </c>
      <c r="BE4" t="s">
        <v>633</v>
      </c>
      <c r="BF4" t="str">
        <f>Labels!B40</f>
        <v>Net Investment</v>
      </c>
      <c r="BG4" t="s">
        <v>544</v>
      </c>
      <c r="BH4" t="str">
        <f>Labels!E40</f>
        <v>Net investment at the end of each investment round, segmented by type of security. Used in plots.</v>
      </c>
      <c r="BI4" t="s">
        <v>10</v>
      </c>
      <c r="BJ4" t="str">
        <f>Labels!B72</f>
        <v>Rounds</v>
      </c>
      <c r="BK4" t="s">
        <v>778</v>
      </c>
      <c r="BL4" t="str">
        <f>Labels!E72</f>
        <v>Investment rounds, used for plotting</v>
      </c>
    </row>
    <row r="5" spans="1:64" ht="12.75" customHeight="1" x14ac:dyDescent="0.2">
      <c r="A5" t="s">
        <v>589</v>
      </c>
      <c r="B5" t="str">
        <f>Labels!B75</f>
        <v>Securities</v>
      </c>
      <c r="C5" t="s">
        <v>718</v>
      </c>
      <c r="D5" t="str">
        <f>Labels!E75</f>
        <v>Types of securities, used for plotting</v>
      </c>
      <c r="E5" t="s">
        <v>688</v>
      </c>
      <c r="F5" t="str">
        <f>Labels!B23</f>
        <v>Firm Value</v>
      </c>
      <c r="G5" t="s">
        <v>470</v>
      </c>
      <c r="H5" t="str">
        <f>Labels!E23</f>
        <v>Firm value at End of each investment round. Used in plotting.</v>
      </c>
      <c r="I5" t="s">
        <v>558</v>
      </c>
      <c r="J5" t="str">
        <f>Labels!B27</f>
        <v>Invest by Origin Conv Notes</v>
      </c>
      <c r="K5" t="s">
        <v>643</v>
      </c>
      <c r="L5" t="str">
        <f>Labels!E27</f>
        <v>Cumulative gross investment in convertible notes, for each investment round. Used for plotting.</v>
      </c>
      <c r="M5" t="s">
        <v>232</v>
      </c>
      <c r="N5" t="str">
        <f>Labels!B31</f>
        <v>Invest by Origin Preferred</v>
      </c>
      <c r="O5" t="s">
        <v>65</v>
      </c>
      <c r="P5" t="str">
        <f>Labels!E31</f>
        <v>Cumulative gross investment in preferred stock, for each investment round. Includes dividends. Used for plotting.</v>
      </c>
      <c r="Q5" t="s">
        <v>419</v>
      </c>
      <c r="R5" t="str">
        <f>Labels!B26</f>
        <v>Invest by Origin Common</v>
      </c>
      <c r="S5" t="s">
        <v>210</v>
      </c>
      <c r="T5" t="str">
        <f>Labels!E26</f>
        <v>Cumulative gross investment in common stock, for each investment round. Includes dividends. Used for plotting.</v>
      </c>
      <c r="U5" t="s">
        <v>48</v>
      </c>
      <c r="V5" t="str">
        <f>Labels!B32</f>
        <v>Invest by Origin Warrants</v>
      </c>
      <c r="W5" t="s">
        <v>655</v>
      </c>
      <c r="X5" t="str">
        <f>Labels!E32</f>
        <v>Cumulative gross investment in warrants, for each investment round. Used for plotting.</v>
      </c>
      <c r="Y5" t="s">
        <v>62</v>
      </c>
      <c r="Z5" t="str">
        <f>Labels!B30</f>
        <v>Invest by Origin Options</v>
      </c>
      <c r="AA5" t="s">
        <v>409</v>
      </c>
      <c r="AB5" t="str">
        <f>Labels!E30</f>
        <v>Cumulative gross investment in options, for each investment round. Used for plotting.</v>
      </c>
      <c r="AC5" t="s">
        <v>783</v>
      </c>
      <c r="AD5" t="str">
        <f>Labels!B33</f>
        <v>Invest End of Round Common</v>
      </c>
      <c r="AE5" t="s">
        <v>797</v>
      </c>
      <c r="AF5" t="str">
        <f>Labels!E33</f>
        <v>Cumulative gross investment in common stock held at the end of each investment round. Includes dividends. Used for plotting.</v>
      </c>
      <c r="AG5" t="s">
        <v>663</v>
      </c>
      <c r="AH5" t="str">
        <f>Labels!B34</f>
        <v>Invest End Round Notes</v>
      </c>
      <c r="AI5" t="s">
        <v>382</v>
      </c>
      <c r="AJ5" t="str">
        <f>Labels!E34</f>
        <v>Cumulative gross investment held in convertible notes, for each investment round. Used for plotting.</v>
      </c>
      <c r="AK5" t="s">
        <v>587</v>
      </c>
      <c r="AL5" t="str">
        <f>Labels!B35</f>
        <v>Invest End Round Options</v>
      </c>
      <c r="AM5" t="s">
        <v>5</v>
      </c>
      <c r="AN5" t="str">
        <f>Labels!E35</f>
        <v>Cumulative gross investment in options held at the end of each investment round. Used for plotting.</v>
      </c>
      <c r="AO5" t="s">
        <v>250</v>
      </c>
      <c r="AP5" t="str">
        <f>Labels!B36</f>
        <v>Invest End Round Preferred</v>
      </c>
      <c r="AQ5" t="s">
        <v>791</v>
      </c>
      <c r="AR5" t="str">
        <f>Labels!E36</f>
        <v>Cumulative gross investment held in preferred stock at the end of each investment round. Includes dividends. Used for plotting.</v>
      </c>
      <c r="AS5" t="s">
        <v>748</v>
      </c>
      <c r="AT5" t="str">
        <f>Labels!B37</f>
        <v>Invest End Round Warrants</v>
      </c>
      <c r="AU5" t="s">
        <v>696</v>
      </c>
      <c r="AV5" t="str">
        <f>Labels!E37</f>
        <v>Cumulative gross investment held in warrants at the end of each investment round. Includes dividends. Used for plotting.</v>
      </c>
      <c r="AW5" t="s">
        <v>682</v>
      </c>
      <c r="AX5" t="str">
        <f>Labels!E102</f>
        <v>The types of securities and the series within each type.
* A convertible note is a loan that is convertible to common stock subject to certain restrictions of time and circumstances.
* Preferred stock is equity that has preference rights over common stock in payouts from the company, usually accrues a dividend in each time period, may be convertible to common stock under some circumstances, and may have preferential voting rights.
* A warrant is an option that is issued by and guaranteed by the company (whereas options are not so guaranteed)
* An option means a "call option" to buy one share of common stock at a fixed "exercise price" before the end of life of the option.
You can add new types of securities and new rounds in ModelSheet, but not in exported spreadsheets.</v>
      </c>
      <c r="AY5" t="s">
        <v>203</v>
      </c>
      <c r="AZ5" t="str">
        <f>Labels!B102</f>
        <v>Securities</v>
      </c>
      <c r="BA5" t="s">
        <v>586</v>
      </c>
      <c r="BB5" t="str">
        <f>Labels!D102</f>
        <v>Security</v>
      </c>
      <c r="BC5" t="s">
        <v>96</v>
      </c>
      <c r="BD5" t="str">
        <f>Labels!C102</f>
        <v>Total</v>
      </c>
      <c r="BE5" t="s">
        <v>216</v>
      </c>
      <c r="BF5" t="str">
        <f>Labels!B103</f>
        <v>Conv Note</v>
      </c>
      <c r="BG5" t="s">
        <v>597</v>
      </c>
      <c r="BH5" t="str">
        <f>Labels!D103</f>
        <v>Security</v>
      </c>
      <c r="BI5" t="s">
        <v>548</v>
      </c>
      <c r="BJ5" t="str">
        <f>Labels!C103</f>
        <v>Subtotal</v>
      </c>
      <c r="BK5" t="s">
        <v>463</v>
      </c>
      <c r="BL5" t="str">
        <f>Labels!B104</f>
        <v>Series B</v>
      </c>
    </row>
    <row r="6" spans="1:64" ht="12.75" customHeight="1" x14ac:dyDescent="0.2">
      <c r="A6" t="s">
        <v>16</v>
      </c>
      <c r="B6" t="str">
        <f>Labels!D104</f>
        <v>Security 2</v>
      </c>
      <c r="C6" t="s">
        <v>234</v>
      </c>
      <c r="D6" t="str">
        <f>Labels!B105</f>
        <v>Series A</v>
      </c>
      <c r="E6" t="s">
        <v>669</v>
      </c>
      <c r="F6" t="str">
        <f>Labels!B106</f>
        <v>Preferred</v>
      </c>
      <c r="G6" t="s">
        <v>732</v>
      </c>
      <c r="H6" t="str">
        <f>Labels!C106</f>
        <v>Subtotal</v>
      </c>
      <c r="I6" t="s">
        <v>86</v>
      </c>
      <c r="J6" t="str">
        <f>Labels!B107</f>
        <v>Series A</v>
      </c>
      <c r="K6" t="s">
        <v>398</v>
      </c>
      <c r="L6" t="str">
        <f>Labels!B108</f>
        <v>Common</v>
      </c>
      <c r="M6" t="s">
        <v>445</v>
      </c>
      <c r="N6" t="str">
        <f>Labels!B109</f>
        <v>Warrant</v>
      </c>
      <c r="O6" t="s">
        <v>822</v>
      </c>
      <c r="P6" t="str">
        <f>Labels!B110</f>
        <v>Option</v>
      </c>
      <c r="Q6" t="s">
        <v>370</v>
      </c>
      <c r="R6" t="str">
        <f>Labels!C110</f>
        <v>Subtotal</v>
      </c>
      <c r="S6" t="s">
        <v>71</v>
      </c>
      <c r="T6" t="str">
        <f>Labels!B111</f>
        <v>Series B</v>
      </c>
      <c r="U6" t="s">
        <v>301</v>
      </c>
      <c r="V6" t="str">
        <f>Labels!B112</f>
        <v>Series A</v>
      </c>
      <c r="W6" t="s">
        <v>538</v>
      </c>
      <c r="X6" t="str">
        <f>Labels!E90</f>
        <v>The transaction phases within each funding round. The phases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Dividends are paid and splits occur between rounds, and are included in Start totals.</v>
      </c>
      <c r="Y6" t="s">
        <v>46</v>
      </c>
      <c r="Z6" t="str">
        <f>Labels!B90</f>
        <v>Phases</v>
      </c>
      <c r="AA6" t="s">
        <v>284</v>
      </c>
      <c r="AB6" t="str">
        <f>Labels!D90</f>
        <v>Phase</v>
      </c>
      <c r="AC6" t="s">
        <v>710</v>
      </c>
      <c r="AD6" t="str">
        <f>Labels!C90</f>
        <v>Total</v>
      </c>
      <c r="AE6" t="s">
        <v>452</v>
      </c>
      <c r="AF6" t="str">
        <f>Labels!B91</f>
        <v>Start</v>
      </c>
      <c r="AG6" t="s">
        <v>626</v>
      </c>
      <c r="AH6" t="str">
        <f>Labels!D91</f>
        <v>Phase</v>
      </c>
      <c r="AI6" t="s">
        <v>450</v>
      </c>
      <c r="AJ6" t="str">
        <f>Labels!B92</f>
        <v>New Sales</v>
      </c>
      <c r="AK6" t="s">
        <v>716</v>
      </c>
      <c r="AL6" t="str">
        <f>Labels!B93</f>
        <v>Post Sales</v>
      </c>
      <c r="AM6" t="s">
        <v>417</v>
      </c>
      <c r="AN6" t="str">
        <f>Labels!B94</f>
        <v>Convert</v>
      </c>
      <c r="AO6" t="s">
        <v>530</v>
      </c>
      <c r="AP6" t="str">
        <f>Labels!B95</f>
        <v>End</v>
      </c>
      <c r="AQ6" t="s">
        <v>214</v>
      </c>
      <c r="AR6" t="str">
        <f>Labels!E97</f>
        <v>A list of the funding rounds</v>
      </c>
      <c r="AS6" t="s">
        <v>268</v>
      </c>
      <c r="AT6" t="str">
        <f>Labels!B97</f>
        <v>Rounds</v>
      </c>
      <c r="AU6" t="s">
        <v>208</v>
      </c>
      <c r="AV6" t="str">
        <f>Labels!D97</f>
        <v>Rounds</v>
      </c>
      <c r="AW6" t="s">
        <v>123</v>
      </c>
      <c r="AX6" t="str">
        <f>Labels!C97</f>
        <v>Total</v>
      </c>
      <c r="AY6" t="s">
        <v>345</v>
      </c>
      <c r="AZ6" t="str">
        <f>Labels!B98</f>
        <v>Seed</v>
      </c>
      <c r="BA6" t="s">
        <v>414</v>
      </c>
      <c r="BB6" t="str">
        <f>Labels!D98</f>
        <v>Rounds</v>
      </c>
      <c r="BC6" t="s">
        <v>764</v>
      </c>
      <c r="BD6" t="str">
        <f>Labels!B99</f>
        <v>Round A</v>
      </c>
      <c r="BE6" t="s">
        <v>684</v>
      </c>
      <c r="BF6" t="str">
        <f>Labels!B100</f>
        <v>Exit</v>
      </c>
      <c r="BG6" t="s">
        <v>775</v>
      </c>
      <c r="BH6" t="str">
        <f>Labels!E83</f>
        <v xml:space="preserve">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v>
      </c>
      <c r="BI6" t="s">
        <v>274</v>
      </c>
      <c r="BJ6" t="str">
        <f>Labels!B83</f>
        <v>Convert Conditions</v>
      </c>
      <c r="BK6" t="s">
        <v>385</v>
      </c>
      <c r="BL6" t="str">
        <f>Labels!D83</f>
        <v>Convert_Conditions</v>
      </c>
    </row>
    <row r="7" spans="1:64" ht="12.75" customHeight="1" x14ac:dyDescent="0.2">
      <c r="A7" t="s">
        <v>38</v>
      </c>
      <c r="B7" t="str">
        <f>Labels!C83</f>
        <v>Total</v>
      </c>
      <c r="C7" t="s">
        <v>423</v>
      </c>
      <c r="D7" t="str">
        <f>Labels!B84</f>
        <v>Trigger Date</v>
      </c>
      <c r="E7" t="s">
        <v>322</v>
      </c>
      <c r="F7" t="str">
        <f>Labels!D84</f>
        <v>Convert_Conditions</v>
      </c>
      <c r="G7" t="s">
        <v>616</v>
      </c>
      <c r="H7" t="str">
        <f>Labels!B85</f>
        <v>Trigger Invest</v>
      </c>
      <c r="I7" t="s">
        <v>800</v>
      </c>
      <c r="J7" t="str">
        <f>Labels!B86</f>
        <v>Trigger Value %</v>
      </c>
      <c r="K7" t="s">
        <v>257</v>
      </c>
      <c r="L7" t="str">
        <f>Labels!B87</f>
        <v>Liquidation</v>
      </c>
      <c r="M7" t="s">
        <v>422</v>
      </c>
      <c r="N7" t="str">
        <f>Labels!B88</f>
        <v>Trigger Price</v>
      </c>
    </row>
    <row r="8" spans="1:64" ht="12.75" customHeight="1" x14ac:dyDescent="0.2">
      <c r="A8" t="s">
        <v>514</v>
      </c>
      <c r="B8">
        <f>Graphs!A1</f>
        <v>0</v>
      </c>
      <c r="C8" t="s">
        <v>98</v>
      </c>
      <c r="D8" t="str">
        <f>Inputs!A1</f>
        <v>Capitalization Table</v>
      </c>
      <c r="E8" t="s">
        <v>98</v>
      </c>
      <c r="F8" t="str">
        <f>Investment!A1</f>
        <v>Capitalization Table</v>
      </c>
      <c r="G8" t="s">
        <v>98</v>
      </c>
      <c r="H8" t="str">
        <f>Shares!A1</f>
        <v>Capitalization Table</v>
      </c>
      <c r="I8" t="s">
        <v>98</v>
      </c>
      <c r="J8" t="str">
        <f>Conversion!A1</f>
        <v>Capitalization Table</v>
      </c>
      <c r="K8" t="s">
        <v>98</v>
      </c>
      <c r="L8" t="str">
        <f>Prices!A1</f>
        <v>Capitalization Table</v>
      </c>
      <c r="M8" t="s">
        <v>98</v>
      </c>
      <c r="N8" t="str">
        <f>Options!A1</f>
        <v>Capitalization Table</v>
      </c>
      <c r="O8" t="s">
        <v>98</v>
      </c>
      <c r="P8" t="str">
        <f>Valuation!A1</f>
        <v>Capitalization Table</v>
      </c>
      <c r="Q8" t="s">
        <v>98</v>
      </c>
      <c r="R8" t="str">
        <f>Payout!A1</f>
        <v>Capitalization Table</v>
      </c>
      <c r="S8" t="s">
        <v>98</v>
      </c>
      <c r="T8" t="str">
        <f>Formulas!A1</f>
        <v>Capitalization Table</v>
      </c>
      <c r="U8" t="s">
        <v>98</v>
      </c>
      <c r="V8" t="str">
        <f>Boneyard!A1</f>
        <v>Capitalization Table</v>
      </c>
      <c r="W8" t="s">
        <v>98</v>
      </c>
      <c r="X8" t="str">
        <f>'Plot Support'!A1</f>
        <v>Capitalization Table</v>
      </c>
      <c r="Y8" t="s">
        <v>98</v>
      </c>
      <c r="Z8" t="str">
        <f>'(FnCalls 1)'!A1</f>
        <v>Capitalization Table</v>
      </c>
      <c r="AA8" t="s">
        <v>98</v>
      </c>
      <c r="AB8" t="str">
        <f>'(Other Variables)'!A1</f>
        <v>Capitalization Table</v>
      </c>
      <c r="AC8" t="s">
        <v>98</v>
      </c>
      <c r="AD8" t="str">
        <f>Labels!A1</f>
        <v>Capitalization Table</v>
      </c>
      <c r="AE8" t="s">
        <v>98</v>
      </c>
      <c r="AF8">
        <f>'(Ranges)'!A1</f>
        <v>0</v>
      </c>
      <c r="AG8" t="s">
        <v>98</v>
      </c>
      <c r="AH8" t="str">
        <f>'(Import)'!A1</f>
        <v>:A:0:Price_Unit_Start</v>
      </c>
    </row>
    <row r="9" spans="1:64" ht="12.75" customHeight="1" x14ac:dyDescent="0.2">
      <c r="A9" t="s">
        <v>115</v>
      </c>
      <c r="B9" t="str">
        <f>Inputs!B8</f>
        <v>ABC Corp.</v>
      </c>
      <c r="C9" t="s">
        <v>795</v>
      </c>
      <c r="D9">
        <f>Inputs!B14</f>
        <v>40391</v>
      </c>
      <c r="E9" t="s">
        <v>588</v>
      </c>
      <c r="F9">
        <f>Inputs!C14</f>
        <v>40725</v>
      </c>
      <c r="G9" t="s">
        <v>26</v>
      </c>
      <c r="H9">
        <f>Inputs!D14</f>
        <v>41061</v>
      </c>
      <c r="I9" t="s">
        <v>371</v>
      </c>
      <c r="J9">
        <f>Inputs!B23</f>
        <v>0.3</v>
      </c>
      <c r="K9" t="s">
        <v>160</v>
      </c>
      <c r="L9">
        <f>Inputs!C23</f>
        <v>1</v>
      </c>
      <c r="M9" t="s">
        <v>479</v>
      </c>
      <c r="N9">
        <f>Inputs!D23</f>
        <v>0.04</v>
      </c>
      <c r="O9" t="s">
        <v>454</v>
      </c>
      <c r="P9">
        <f>Inputs!B24</f>
        <v>0.3</v>
      </c>
      <c r="Q9" t="s">
        <v>618</v>
      </c>
      <c r="R9">
        <f>Inputs!C24</f>
        <v>1</v>
      </c>
      <c r="S9" t="s">
        <v>624</v>
      </c>
      <c r="T9">
        <f>Inputs!D24</f>
        <v>0.04</v>
      </c>
      <c r="U9" t="s">
        <v>460</v>
      </c>
      <c r="V9">
        <f>Inputs!B28</f>
        <v>40634</v>
      </c>
      <c r="W9" t="s">
        <v>664</v>
      </c>
      <c r="X9">
        <f>Inputs!C28</f>
        <v>1000000</v>
      </c>
      <c r="Y9" t="s">
        <v>456</v>
      </c>
      <c r="Z9">
        <f>Inputs!D28</f>
        <v>0.5</v>
      </c>
      <c r="AA9" t="s">
        <v>263</v>
      </c>
      <c r="AB9">
        <f>Inputs!E28</f>
        <v>0.2</v>
      </c>
      <c r="AC9" t="s">
        <v>181</v>
      </c>
      <c r="AD9">
        <f>Inputs!B29</f>
        <v>40634</v>
      </c>
      <c r="AE9" t="s">
        <v>126</v>
      </c>
      <c r="AF9">
        <f>Inputs!C29</f>
        <v>1000000</v>
      </c>
      <c r="AG9" t="s">
        <v>198</v>
      </c>
      <c r="AH9">
        <f>Inputs!D29</f>
        <v>0.5</v>
      </c>
      <c r="AI9" t="s">
        <v>545</v>
      </c>
      <c r="AJ9">
        <f>Inputs!E29</f>
        <v>0.2</v>
      </c>
      <c r="AK9" t="s">
        <v>239</v>
      </c>
      <c r="AL9">
        <f>Inputs!B33</f>
        <v>0.3</v>
      </c>
      <c r="AM9" t="s">
        <v>527</v>
      </c>
      <c r="AN9">
        <f>Inputs!C33</f>
        <v>0.5</v>
      </c>
      <c r="AO9" t="s">
        <v>307</v>
      </c>
      <c r="AP9">
        <f>Inputs!B34</f>
        <v>0.3</v>
      </c>
      <c r="AQ9" t="s">
        <v>266</v>
      </c>
      <c r="AR9">
        <f>Inputs!C34</f>
        <v>0.5</v>
      </c>
      <c r="AS9" t="s">
        <v>172</v>
      </c>
      <c r="AT9">
        <f>Inputs!B38</f>
        <v>0</v>
      </c>
      <c r="AU9" t="s">
        <v>187</v>
      </c>
      <c r="AV9">
        <f>Inputs!C38</f>
        <v>0</v>
      </c>
      <c r="AW9" t="s">
        <v>461</v>
      </c>
      <c r="AX9">
        <f>Inputs!D38</f>
        <v>0</v>
      </c>
      <c r="AY9" t="s">
        <v>276</v>
      </c>
      <c r="AZ9">
        <f>Inputs!B39</f>
        <v>0</v>
      </c>
      <c r="BA9" t="s">
        <v>364</v>
      </c>
      <c r="BB9">
        <f>Inputs!C39</f>
        <v>0</v>
      </c>
      <c r="BC9" t="s">
        <v>598</v>
      </c>
      <c r="BD9">
        <f>Inputs!D39</f>
        <v>0</v>
      </c>
      <c r="BE9" t="s">
        <v>802</v>
      </c>
      <c r="BF9">
        <f>Inputs!B50</f>
        <v>0.1</v>
      </c>
      <c r="BG9" t="s">
        <v>402</v>
      </c>
      <c r="BH9">
        <f>Inputs!C50</f>
        <v>0.1</v>
      </c>
      <c r="BI9" t="s">
        <v>681</v>
      </c>
      <c r="BJ9">
        <f>Inputs!D50</f>
        <v>0.1</v>
      </c>
      <c r="BK9" t="s">
        <v>132</v>
      </c>
      <c r="BL9">
        <f>Inputs!B53</f>
        <v>1</v>
      </c>
    </row>
    <row r="10" spans="1:64" ht="12.75" customHeight="1" x14ac:dyDescent="0.2">
      <c r="A10" t="s">
        <v>658</v>
      </c>
      <c r="B10">
        <f>Inputs!C53</f>
        <v>0.06</v>
      </c>
      <c r="C10" t="s">
        <v>497</v>
      </c>
      <c r="D10">
        <f>Inputs!B57</f>
        <v>40634</v>
      </c>
      <c r="E10" t="s">
        <v>184</v>
      </c>
      <c r="F10">
        <f>Inputs!C57</f>
        <v>1500000</v>
      </c>
      <c r="G10" t="s">
        <v>14</v>
      </c>
      <c r="H10">
        <f>Inputs!D57</f>
        <v>0.5</v>
      </c>
      <c r="I10" t="s">
        <v>358</v>
      </c>
      <c r="J10">
        <f>Inputs!E57</f>
        <v>-0.2</v>
      </c>
      <c r="K10" t="s">
        <v>731</v>
      </c>
      <c r="L10">
        <f>Inputs!B61</f>
        <v>0.3</v>
      </c>
      <c r="M10" t="s">
        <v>654</v>
      </c>
      <c r="N10">
        <f>Inputs!C61</f>
        <v>0.5</v>
      </c>
      <c r="O10" t="s">
        <v>127</v>
      </c>
      <c r="P10">
        <f>Inputs!B65</f>
        <v>0</v>
      </c>
      <c r="Q10" t="s">
        <v>308</v>
      </c>
      <c r="R10">
        <f>Inputs!C65</f>
        <v>0</v>
      </c>
      <c r="S10" t="s">
        <v>94</v>
      </c>
      <c r="T10">
        <f>Inputs!D65</f>
        <v>0</v>
      </c>
      <c r="U10" t="s">
        <v>91</v>
      </c>
      <c r="V10">
        <f>Inputs!B71</f>
        <v>1</v>
      </c>
      <c r="W10" t="s">
        <v>607</v>
      </c>
      <c r="X10">
        <f>Inputs!B74</f>
        <v>1</v>
      </c>
      <c r="Y10" t="s">
        <v>350</v>
      </c>
      <c r="Z10">
        <f>Inputs!C74</f>
        <v>1</v>
      </c>
      <c r="AA10" t="s">
        <v>619</v>
      </c>
      <c r="AB10">
        <f>Inputs!D74</f>
        <v>1</v>
      </c>
      <c r="AC10" t="s">
        <v>805</v>
      </c>
      <c r="AD10">
        <f>Inputs!B76</f>
        <v>0</v>
      </c>
      <c r="AE10" t="s">
        <v>546</v>
      </c>
      <c r="AF10">
        <f>Inputs!C76</f>
        <v>0</v>
      </c>
      <c r="AG10" t="s">
        <v>621</v>
      </c>
      <c r="AH10">
        <f>Inputs!D76</f>
        <v>0</v>
      </c>
      <c r="AI10" t="s">
        <v>687</v>
      </c>
      <c r="AJ10">
        <f>Inputs!B80</f>
        <v>0.3</v>
      </c>
      <c r="AK10" t="s">
        <v>373</v>
      </c>
      <c r="AL10">
        <f>Inputs!C80</f>
        <v>0.5</v>
      </c>
      <c r="AM10" t="s">
        <v>28</v>
      </c>
      <c r="AN10">
        <f>Inputs!B83</f>
        <v>1</v>
      </c>
      <c r="AO10" t="s">
        <v>610</v>
      </c>
      <c r="AP10">
        <f>Inputs!C83</f>
        <v>0</v>
      </c>
      <c r="AQ10" t="s">
        <v>273</v>
      </c>
      <c r="AR10">
        <f>Inputs!D83</f>
        <v>0</v>
      </c>
      <c r="AS10" t="s">
        <v>635</v>
      </c>
      <c r="AT10">
        <f>Inputs!B91</f>
        <v>1</v>
      </c>
      <c r="AU10" t="s">
        <v>429</v>
      </c>
      <c r="AV10">
        <f>Inputs!B92</f>
        <v>1</v>
      </c>
      <c r="AW10" t="s">
        <v>209</v>
      </c>
      <c r="AX10">
        <f>Inputs!B96</f>
        <v>1</v>
      </c>
      <c r="AY10" t="s">
        <v>476</v>
      </c>
      <c r="AZ10">
        <f>Inputs!C96</f>
        <v>1000000</v>
      </c>
      <c r="BA10" t="s">
        <v>686</v>
      </c>
      <c r="BB10">
        <f>Inputs!D96</f>
        <v>1000000</v>
      </c>
      <c r="BC10" t="s">
        <v>134</v>
      </c>
      <c r="BD10">
        <f>Inputs!B97</f>
        <v>1</v>
      </c>
      <c r="BE10" t="s">
        <v>141</v>
      </c>
      <c r="BF10">
        <f>Inputs!C97</f>
        <v>1000000</v>
      </c>
      <c r="BG10" t="s">
        <v>149</v>
      </c>
      <c r="BH10">
        <f>Inputs!D97</f>
        <v>1000000</v>
      </c>
      <c r="BI10" t="s">
        <v>428</v>
      </c>
      <c r="BJ10">
        <f>Inputs!C101</f>
        <v>40634</v>
      </c>
      <c r="BK10" t="s">
        <v>471</v>
      </c>
      <c r="BL10">
        <f>Inputs!D101</f>
        <v>1500000</v>
      </c>
    </row>
    <row r="11" spans="1:64" ht="12.75" customHeight="1" x14ac:dyDescent="0.2">
      <c r="A11" t="s">
        <v>219</v>
      </c>
      <c r="B11">
        <f>Inputs!E101</f>
        <v>0.5</v>
      </c>
      <c r="C11" t="s">
        <v>113</v>
      </c>
      <c r="D11">
        <f>Inputs!C102</f>
        <v>40634</v>
      </c>
      <c r="E11" t="s">
        <v>159</v>
      </c>
      <c r="F11">
        <f>Inputs!D102</f>
        <v>1500000</v>
      </c>
      <c r="G11" t="s">
        <v>440</v>
      </c>
      <c r="H11">
        <f>Inputs!E102</f>
        <v>0.5</v>
      </c>
      <c r="I11" t="s">
        <v>300</v>
      </c>
      <c r="J11">
        <f>Inputs!B107</f>
        <v>0.3</v>
      </c>
      <c r="K11" t="s">
        <v>473</v>
      </c>
      <c r="L11">
        <f>Inputs!C107</f>
        <v>0.5</v>
      </c>
      <c r="M11" t="s">
        <v>43</v>
      </c>
      <c r="N11">
        <f>Inputs!B108</f>
        <v>0.3</v>
      </c>
      <c r="O11" t="s">
        <v>436</v>
      </c>
      <c r="P11">
        <f>Inputs!C108</f>
        <v>0.5</v>
      </c>
      <c r="Q11" t="s">
        <v>483</v>
      </c>
      <c r="R11">
        <f>Inputs!B112</f>
        <v>0</v>
      </c>
      <c r="S11" t="s">
        <v>792</v>
      </c>
      <c r="T11">
        <f>Inputs!C112</f>
        <v>0</v>
      </c>
      <c r="U11" t="s">
        <v>286</v>
      </c>
      <c r="V11">
        <f>Inputs!D112</f>
        <v>0</v>
      </c>
      <c r="W11" t="s">
        <v>240</v>
      </c>
      <c r="X11">
        <f>Inputs!B113</f>
        <v>0</v>
      </c>
      <c r="Y11" t="s">
        <v>174</v>
      </c>
      <c r="Z11">
        <f>Inputs!C113</f>
        <v>0</v>
      </c>
      <c r="AA11" t="s">
        <v>708</v>
      </c>
      <c r="AB11">
        <f>Inputs!D113</f>
        <v>0</v>
      </c>
      <c r="AC11" t="s">
        <v>405</v>
      </c>
      <c r="AD11">
        <f>Inputs!B121</f>
        <v>1000000</v>
      </c>
      <c r="AE11" t="s">
        <v>88</v>
      </c>
      <c r="AF11">
        <f>Inputs!B122</f>
        <v>1000000</v>
      </c>
      <c r="AG11" t="s">
        <v>25</v>
      </c>
      <c r="AH11">
        <f>Inputs!B123</f>
        <v>1000000</v>
      </c>
      <c r="AI11" t="s">
        <v>763</v>
      </c>
      <c r="AJ11">
        <f>Investment!D38</f>
        <v>0.3</v>
      </c>
      <c r="AK11" t="s">
        <v>595</v>
      </c>
      <c r="AL11">
        <f>Conversion!B28</f>
        <v>0</v>
      </c>
      <c r="AM11" t="s">
        <v>279</v>
      </c>
      <c r="AN11">
        <f>Conversion!C28</f>
        <v>0</v>
      </c>
      <c r="AO11" t="s">
        <v>525</v>
      </c>
      <c r="AP11">
        <f>Conversion!D28</f>
        <v>0</v>
      </c>
      <c r="AQ11" t="s">
        <v>499</v>
      </c>
      <c r="AR11">
        <f>Conversion!B29</f>
        <v>0</v>
      </c>
      <c r="AS11" t="s">
        <v>390</v>
      </c>
      <c r="AT11">
        <f>Conversion!C29</f>
        <v>0</v>
      </c>
      <c r="AU11" t="s">
        <v>384</v>
      </c>
      <c r="AV11">
        <f>Conversion!D29</f>
        <v>0</v>
      </c>
      <c r="AW11" t="s">
        <v>644</v>
      </c>
      <c r="AX11">
        <f>Conversion!B31</f>
        <v>0</v>
      </c>
      <c r="AY11" t="s">
        <v>413</v>
      </c>
      <c r="AZ11">
        <f>Conversion!C31</f>
        <v>0</v>
      </c>
      <c r="BA11" t="s">
        <v>363</v>
      </c>
      <c r="BB11">
        <f>Conversion!D31</f>
        <v>0</v>
      </c>
      <c r="BC11" t="s">
        <v>213</v>
      </c>
      <c r="BD11">
        <f>Conversion!B32</f>
        <v>0</v>
      </c>
      <c r="BE11" t="s">
        <v>569</v>
      </c>
      <c r="BF11">
        <f>Conversion!C32</f>
        <v>0</v>
      </c>
      <c r="BG11" t="s">
        <v>638</v>
      </c>
      <c r="BH11">
        <f>Conversion!D32</f>
        <v>0</v>
      </c>
      <c r="BI11" t="s">
        <v>577</v>
      </c>
      <c r="BJ11">
        <f>Conversion!B33</f>
        <v>0</v>
      </c>
      <c r="BK11" t="s">
        <v>738</v>
      </c>
      <c r="BL11">
        <f>Conversion!C33</f>
        <v>0</v>
      </c>
    </row>
    <row r="12" spans="1:64" ht="12.75" customHeight="1" x14ac:dyDescent="0.2">
      <c r="A12" t="s">
        <v>394</v>
      </c>
      <c r="B12">
        <f>Conversion!D33</f>
        <v>0</v>
      </c>
      <c r="C12" t="s">
        <v>359</v>
      </c>
      <c r="D12">
        <f>Conversion!B35</f>
        <v>0</v>
      </c>
      <c r="E12" t="s">
        <v>821</v>
      </c>
      <c r="F12">
        <f>Conversion!C35</f>
        <v>0</v>
      </c>
      <c r="G12" t="s">
        <v>464</v>
      </c>
      <c r="H12">
        <f>Conversion!D35</f>
        <v>0</v>
      </c>
      <c r="I12" t="s">
        <v>742</v>
      </c>
      <c r="J12">
        <f>Conversion!B36</f>
        <v>0</v>
      </c>
      <c r="K12" t="s">
        <v>794</v>
      </c>
      <c r="L12">
        <f>Conversion!C36</f>
        <v>0</v>
      </c>
      <c r="M12" t="s">
        <v>485</v>
      </c>
      <c r="N12">
        <f>Conversion!D36</f>
        <v>0</v>
      </c>
      <c r="O12" t="s">
        <v>674</v>
      </c>
      <c r="P12">
        <f>Prices!B14</f>
        <v>0</v>
      </c>
      <c r="Q12" t="s">
        <v>719</v>
      </c>
      <c r="R12">
        <f>Prices!C14</f>
        <v>0</v>
      </c>
      <c r="S12" t="s">
        <v>161</v>
      </c>
      <c r="T12">
        <f>Prices!D14</f>
        <v>0</v>
      </c>
      <c r="U12" t="s">
        <v>236</v>
      </c>
      <c r="V12">
        <f>Prices!B15</f>
        <v>0</v>
      </c>
      <c r="W12" t="s">
        <v>737</v>
      </c>
      <c r="X12">
        <f>Prices!C15</f>
        <v>0</v>
      </c>
      <c r="Y12" t="s">
        <v>781</v>
      </c>
      <c r="Z12">
        <f>Prices!D15</f>
        <v>0</v>
      </c>
      <c r="AA12" t="s">
        <v>498</v>
      </c>
      <c r="AB12">
        <f>Prices!B17</f>
        <v>1.1000000000000001</v>
      </c>
      <c r="AC12" t="s">
        <v>702</v>
      </c>
      <c r="AD12">
        <f>Prices!C17</f>
        <v>1100000</v>
      </c>
      <c r="AE12" t="s">
        <v>502</v>
      </c>
      <c r="AF12">
        <f>Prices!D17</f>
        <v>1100000</v>
      </c>
      <c r="AG12" t="s">
        <v>717</v>
      </c>
      <c r="AH12">
        <f>Prices!B18</f>
        <v>1</v>
      </c>
      <c r="AI12" t="s">
        <v>519</v>
      </c>
      <c r="AJ12">
        <f>Prices!C18</f>
        <v>1000000</v>
      </c>
      <c r="AK12" t="s">
        <v>228</v>
      </c>
      <c r="AL12">
        <f>Prices!D18</f>
        <v>1000000</v>
      </c>
      <c r="AM12" t="s">
        <v>808</v>
      </c>
      <c r="AN12">
        <f>Prices!B19</f>
        <v>1</v>
      </c>
      <c r="AO12" t="s">
        <v>510</v>
      </c>
      <c r="AP12">
        <f>Prices!C19</f>
        <v>1000000</v>
      </c>
      <c r="AQ12" t="s">
        <v>564</v>
      </c>
      <c r="AR12">
        <f>Prices!D19</f>
        <v>1000000</v>
      </c>
      <c r="AS12" t="s">
        <v>755</v>
      </c>
      <c r="AT12">
        <f>Boneyard!B12</f>
        <v>0</v>
      </c>
      <c r="AU12" t="s">
        <v>768</v>
      </c>
      <c r="AV12">
        <f>Boneyard!B13</f>
        <v>0</v>
      </c>
      <c r="AW12" t="s">
        <v>603</v>
      </c>
      <c r="AX12">
        <f>Boneyard!B14</f>
        <v>0</v>
      </c>
      <c r="AY12" t="s">
        <v>668</v>
      </c>
      <c r="AZ12">
        <f>Boneyard!B16</f>
        <v>0</v>
      </c>
      <c r="BA12" t="s">
        <v>673</v>
      </c>
      <c r="BB12">
        <f>Boneyard!B17</f>
        <v>0</v>
      </c>
      <c r="BC12" t="s">
        <v>290</v>
      </c>
      <c r="BD12">
        <f>Boneyard!D13</f>
        <v>40634</v>
      </c>
      <c r="BE12" t="s">
        <v>816</v>
      </c>
      <c r="BF12">
        <f>Boneyard!D14</f>
        <v>40634</v>
      </c>
      <c r="BG12" t="s">
        <v>233</v>
      </c>
      <c r="BH12">
        <f>Boneyard!F13</f>
        <v>1500000</v>
      </c>
      <c r="BI12" t="s">
        <v>492</v>
      </c>
      <c r="BJ12">
        <f>Boneyard!F14</f>
        <v>1500000</v>
      </c>
      <c r="BK12" t="s">
        <v>63</v>
      </c>
      <c r="BL12">
        <f>Boneyard!H13</f>
        <v>0.5</v>
      </c>
    </row>
    <row r="13" spans="1:64" ht="12.75" customHeight="1" x14ac:dyDescent="0.2">
      <c r="A13" t="s">
        <v>646</v>
      </c>
      <c r="B13">
        <f>Boneyard!H14</f>
        <v>0.5</v>
      </c>
      <c r="C13" t="s">
        <v>298</v>
      </c>
      <c r="D13">
        <f>Boneyard!B25</f>
        <v>0</v>
      </c>
      <c r="E13" t="s">
        <v>103</v>
      </c>
      <c r="F13">
        <f>Boneyard!B26</f>
        <v>0</v>
      </c>
      <c r="G13" t="s">
        <v>623</v>
      </c>
      <c r="H13">
        <f>Boneyard!B28</f>
        <v>0</v>
      </c>
      <c r="I13" t="s">
        <v>744</v>
      </c>
      <c r="J13">
        <f>Boneyard!B29</f>
        <v>0</v>
      </c>
      <c r="K13" t="s">
        <v>57</v>
      </c>
      <c r="L13">
        <f>Boneyard!D21</f>
        <v>1</v>
      </c>
      <c r="M13" t="s">
        <v>1</v>
      </c>
      <c r="N13">
        <f>Boneyard!D22</f>
        <v>1</v>
      </c>
      <c r="O13" t="s">
        <v>201</v>
      </c>
      <c r="P13">
        <f>Boneyard!D24</f>
        <v>1</v>
      </c>
      <c r="Q13" t="s">
        <v>582</v>
      </c>
      <c r="R13">
        <f>Boneyard!D25</f>
        <v>1</v>
      </c>
      <c r="S13" t="s">
        <v>585</v>
      </c>
      <c r="T13">
        <f>Boneyard!D26</f>
        <v>1</v>
      </c>
      <c r="U13" t="s">
        <v>157</v>
      </c>
      <c r="V13">
        <f>Boneyard!F25</f>
        <v>0</v>
      </c>
      <c r="W13" t="s">
        <v>297</v>
      </c>
      <c r="X13">
        <f>Boneyard!F26</f>
        <v>0</v>
      </c>
      <c r="Y13" t="s">
        <v>801</v>
      </c>
      <c r="Z13">
        <f>Boneyard!F28</f>
        <v>0</v>
      </c>
      <c r="AA13" t="s">
        <v>275</v>
      </c>
      <c r="AB13">
        <f>Boneyard!F29</f>
        <v>0</v>
      </c>
      <c r="AC13" t="s">
        <v>533</v>
      </c>
      <c r="AD13">
        <f>Boneyard!H25</f>
        <v>0</v>
      </c>
      <c r="AE13" t="s">
        <v>704</v>
      </c>
      <c r="AF13">
        <f>Boneyard!H26</f>
        <v>0</v>
      </c>
      <c r="AG13" t="s">
        <v>215</v>
      </c>
      <c r="AH13">
        <f>Boneyard!H28</f>
        <v>0</v>
      </c>
      <c r="AI13" t="s">
        <v>78</v>
      </c>
      <c r="AJ13">
        <f>Boneyard!H29</f>
        <v>0</v>
      </c>
      <c r="AK13" t="s">
        <v>645</v>
      </c>
      <c r="AL13">
        <f>Boneyard!B35</f>
        <v>0</v>
      </c>
      <c r="AM13" t="s">
        <v>727</v>
      </c>
      <c r="AN13">
        <f>Boneyard!C35</f>
        <v>0</v>
      </c>
      <c r="AO13" t="s">
        <v>35</v>
      </c>
      <c r="AP13">
        <f>Boneyard!D35</f>
        <v>0</v>
      </c>
      <c r="AQ13" t="s">
        <v>705</v>
      </c>
      <c r="AR13">
        <f>Boneyard!B36</f>
        <v>0</v>
      </c>
      <c r="AS13" t="s">
        <v>625</v>
      </c>
      <c r="AT13">
        <f>Boneyard!C36</f>
        <v>0</v>
      </c>
      <c r="AU13" t="s">
        <v>171</v>
      </c>
      <c r="AV13">
        <f>Boneyard!D36</f>
        <v>0</v>
      </c>
      <c r="AW13" t="s">
        <v>628</v>
      </c>
      <c r="AX13">
        <f>Boneyard!B39</f>
        <v>0</v>
      </c>
      <c r="AY13" t="s">
        <v>416</v>
      </c>
      <c r="AZ13">
        <f>Boneyard!C39</f>
        <v>0</v>
      </c>
      <c r="BA13" t="s">
        <v>11</v>
      </c>
      <c r="BB13">
        <f>Boneyard!D39</f>
        <v>0</v>
      </c>
      <c r="BC13" t="s">
        <v>204</v>
      </c>
      <c r="BD13">
        <f>Boneyard!B40</f>
        <v>0</v>
      </c>
      <c r="BE13" t="s">
        <v>541</v>
      </c>
      <c r="BF13">
        <f>Boneyard!C40</f>
        <v>0</v>
      </c>
      <c r="BG13" t="s">
        <v>565</v>
      </c>
      <c r="BH13">
        <f>Boneyard!D40</f>
        <v>0</v>
      </c>
      <c r="BI13" t="s">
        <v>196</v>
      </c>
      <c r="BJ13">
        <f>Boneyard!B42</f>
        <v>0</v>
      </c>
      <c r="BK13" t="s">
        <v>386</v>
      </c>
      <c r="BL13">
        <f>Boneyard!C42</f>
        <v>0</v>
      </c>
    </row>
    <row r="14" spans="1:64" ht="12.75" customHeight="1" x14ac:dyDescent="0.2">
      <c r="A14" t="s">
        <v>23</v>
      </c>
      <c r="B14">
        <f>Boneyard!D42</f>
        <v>0</v>
      </c>
      <c r="C14" t="s">
        <v>22</v>
      </c>
      <c r="D14">
        <f>Boneyard!B43</f>
        <v>0</v>
      </c>
      <c r="E14" t="s">
        <v>97</v>
      </c>
      <c r="F14">
        <f>Boneyard!C43</f>
        <v>0</v>
      </c>
      <c r="G14" t="s">
        <v>567</v>
      </c>
      <c r="H14">
        <f>Boneyard!D43</f>
        <v>0</v>
      </c>
      <c r="I14" t="s">
        <v>817</v>
      </c>
      <c r="J14">
        <f>Boneyard!B54</f>
        <v>0</v>
      </c>
      <c r="K14" t="s">
        <v>68</v>
      </c>
      <c r="L14">
        <f>Boneyard!C54</f>
        <v>0</v>
      </c>
      <c r="M14" t="s">
        <v>523</v>
      </c>
      <c r="N14">
        <f>Boneyard!D54</f>
        <v>0</v>
      </c>
      <c r="O14" t="s">
        <v>79</v>
      </c>
      <c r="P14">
        <f>Boneyard!B56</f>
        <v>0</v>
      </c>
      <c r="Q14" t="s">
        <v>571</v>
      </c>
      <c r="R14">
        <f>Boneyard!C56</f>
        <v>0</v>
      </c>
      <c r="S14" t="s">
        <v>539</v>
      </c>
      <c r="T14">
        <f>Boneyard!D56</f>
        <v>0</v>
      </c>
      <c r="U14" t="s">
        <v>561</v>
      </c>
      <c r="V14">
        <f>Boneyard!B57</f>
        <v>0</v>
      </c>
      <c r="W14" t="s">
        <v>790</v>
      </c>
      <c r="X14">
        <f>Boneyard!C57</f>
        <v>0</v>
      </c>
      <c r="Y14" t="s">
        <v>27</v>
      </c>
      <c r="Z14">
        <f>Boneyard!D57</f>
        <v>0</v>
      </c>
      <c r="AA14" t="s">
        <v>137</v>
      </c>
      <c r="AB14">
        <f>Boneyard!B63</f>
        <v>0</v>
      </c>
      <c r="AC14" t="s">
        <v>550</v>
      </c>
      <c r="AD14">
        <f>Boneyard!C63</f>
        <v>0</v>
      </c>
      <c r="AE14" t="s">
        <v>380</v>
      </c>
      <c r="AF14">
        <f>Boneyard!D63</f>
        <v>0</v>
      </c>
      <c r="AG14" t="s">
        <v>87</v>
      </c>
      <c r="AH14">
        <f>Boneyard!B64</f>
        <v>0</v>
      </c>
      <c r="AI14" t="s">
        <v>299</v>
      </c>
      <c r="AJ14">
        <f>Boneyard!C64</f>
        <v>0</v>
      </c>
      <c r="AK14" t="s">
        <v>178</v>
      </c>
      <c r="AL14">
        <f>Boneyard!D64</f>
        <v>0</v>
      </c>
      <c r="AM14" t="s">
        <v>670</v>
      </c>
      <c r="AN14">
        <f>Boneyard!B67</f>
        <v>0</v>
      </c>
      <c r="AO14" t="s">
        <v>130</v>
      </c>
      <c r="AP14">
        <f>Boneyard!C67</f>
        <v>0</v>
      </c>
      <c r="AQ14" t="s">
        <v>692</v>
      </c>
      <c r="AR14">
        <f>Boneyard!D67</f>
        <v>0</v>
      </c>
      <c r="AS14" t="s">
        <v>528</v>
      </c>
      <c r="AT14">
        <f>Boneyard!B69</f>
        <v>0</v>
      </c>
      <c r="AU14" t="s">
        <v>697</v>
      </c>
      <c r="AV14">
        <f>Boneyard!C69</f>
        <v>0</v>
      </c>
      <c r="AW14" t="s">
        <v>117</v>
      </c>
      <c r="AX14">
        <f>Boneyard!D69</f>
        <v>0</v>
      </c>
      <c r="AY14" t="s">
        <v>412</v>
      </c>
      <c r="AZ14">
        <f>Boneyard!B70</f>
        <v>0</v>
      </c>
      <c r="BA14" t="s">
        <v>693</v>
      </c>
      <c r="BB14">
        <f>Boneyard!C70</f>
        <v>0</v>
      </c>
      <c r="BC14" t="s">
        <v>381</v>
      </c>
      <c r="BD14">
        <f>Boneyard!D70</f>
        <v>0</v>
      </c>
      <c r="BE14" t="s">
        <v>29</v>
      </c>
      <c r="BF14">
        <f>Boneyard!B87</f>
        <v>0.5</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5C0248D-D27D-45D2-A580-D89F1CCE9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Intro</vt:lpstr>
      <vt:lpstr>Graphs</vt:lpstr>
      <vt:lpstr>Inputs</vt:lpstr>
      <vt:lpstr>Investment</vt:lpstr>
      <vt:lpstr>Shares</vt:lpstr>
      <vt:lpstr>Conversion</vt:lpstr>
      <vt:lpstr>Prices</vt:lpstr>
      <vt:lpstr>Options</vt:lpstr>
      <vt:lpstr>Valuation</vt:lpstr>
      <vt:lpstr>Payout</vt:lpstr>
      <vt:lpstr>Formulas</vt:lpstr>
      <vt:lpstr>Boneyard</vt:lpstr>
      <vt:lpstr>Plot Support</vt:lpstr>
      <vt:lpstr>(FnCalls 1)</vt:lpstr>
      <vt:lpstr>(Other Variables)</vt:lpstr>
      <vt:lpstr>Labels</vt:lpstr>
      <vt:lpstr>(Ranges)</vt:lpstr>
      <vt:lpstr>(Import)</vt:lpstr>
      <vt:lpstr>Event_Date</vt:lpstr>
      <vt:lpstr>Firm_Value_End</vt:lpstr>
      <vt:lpstr>Firm_Value_Start</vt:lpstr>
      <vt:lpstr>Invest_by_Origin_Common_plt</vt:lpstr>
      <vt:lpstr>Invest_by_Origin_Conv_plt</vt:lpstr>
      <vt:lpstr>Invest_by_Origin_Opt_plt</vt:lpstr>
      <vt:lpstr>Invest_by_Origin_Preferred_plt</vt:lpstr>
      <vt:lpstr>Invest_by_Origin_War_plt</vt:lpstr>
      <vt:lpstr>Invest_End_Common_plt</vt:lpstr>
      <vt:lpstr>Invest_End_Conv_plt</vt:lpstr>
      <vt:lpstr>Invest_End_Opt_plt</vt:lpstr>
      <vt:lpstr>Invest_End_Preferred_plt</vt:lpstr>
      <vt:lpstr>Invest_End_War_plt</vt:lpstr>
      <vt:lpstr>Investment_Net_End_plt</vt:lpstr>
      <vt:lpstr>Investment_Net_New_plt</vt:lpstr>
      <vt:lpstr>Payout_by_Origin_Last</vt:lpstr>
      <vt:lpstr>Payout_End</vt:lpstr>
      <vt:lpstr>Payout_EndLast</vt:lpstr>
      <vt:lpstr>Intro!Print_Titles</vt:lpstr>
      <vt:lpstr>Return_Multiple</vt:lpstr>
      <vt:lpstr>Rounds_plt</vt:lpstr>
      <vt:lpstr>Securities_plt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cp:lastPrinted>2010-06-19T17:55:52Z</cp:lastPrinted>
  <dcterms:created xsi:type="dcterms:W3CDTF">2014-10-25T20:55:11Z</dcterms:created>
  <dcterms:modified xsi:type="dcterms:W3CDTF">2014-10-25T20:55:12Z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TC103363679990</vt:lpwstr>
  </property>
</Properties>
</file>