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240" yWindow="120" windowWidth="14940" windowHeight="9225"/>
  </bookViews>
  <sheets>
    <sheet name="Intro" sheetId="18" r:id="rId1"/>
    <sheet name="Graphs" sheetId="1" r:id="rId2"/>
    <sheet name="Inputs" sheetId="2" r:id="rId3"/>
    <sheet name="Investment" sheetId="3" r:id="rId4"/>
    <sheet name="Shares" sheetId="4" r:id="rId5"/>
    <sheet name="Conversion" sheetId="5" r:id="rId6"/>
    <sheet name="Prices" sheetId="6" r:id="rId7"/>
    <sheet name="Options" sheetId="7" r:id="rId8"/>
    <sheet name="Valuation" sheetId="8" r:id="rId9"/>
    <sheet name="Payout" sheetId="9" r:id="rId10"/>
    <sheet name="Formulas" sheetId="10" r:id="rId11"/>
    <sheet name="Boneyard" sheetId="11" state="hidden" r:id="rId12"/>
    <sheet name="Plot Support" sheetId="12" state="hidden" r:id="rId13"/>
    <sheet name="(FnCalls 1)" sheetId="13" state="hidden" r:id="rId14"/>
    <sheet name="(Other Variables)" sheetId="14" state="hidden" r:id="rId15"/>
    <sheet name="Labels" sheetId="15" r:id="rId16"/>
    <sheet name="(Ranges)" sheetId="16" state="hidden" r:id="rId17"/>
    <sheet name="(Import)" sheetId="17" state="hidden" r:id="rId18"/>
  </sheets>
  <definedNames>
    <definedName name="Event_Date" localSheetId="0">#REF!</definedName>
    <definedName name="Event_Date">Investment!$B$209:$D$209</definedName>
    <definedName name="Firm_Value_End">'Plot Support'!$B$56:$B$58</definedName>
    <definedName name="Firm_Value_Start">'Plot Support'!$B$50:$B$52</definedName>
    <definedName name="Invest_by_Origin_Common_plt">'Plot Support'!$B$35:$B$37</definedName>
    <definedName name="Invest_by_Origin_Conv_plt">'Plot Support'!$B$25:$B$27</definedName>
    <definedName name="Invest_by_Origin_Opt_plt">'Plot Support'!$B$45:$B$47</definedName>
    <definedName name="Invest_by_Origin_Preferred_plt">'Plot Support'!$B$30:$B$32</definedName>
    <definedName name="Invest_by_Origin_War_plt">'Plot Support'!$B$40:$B$42</definedName>
    <definedName name="Invest_End_Common_plt">'Plot Support'!$E$35:$E$37</definedName>
    <definedName name="Invest_End_Conv_plt">'Plot Support'!$E$25:$E$27</definedName>
    <definedName name="Invest_End_Opt_plt">'Plot Support'!$E$45:$E$47</definedName>
    <definedName name="Invest_End_Preferred_plt">'Plot Support'!$E$30:$E$32</definedName>
    <definedName name="Invest_End_War_plt">'Plot Support'!$E$40:$E$42</definedName>
    <definedName name="Investment_Net_End_plt">'Plot Support'!$C$19:$C$21</definedName>
    <definedName name="Investment_Net_New_plt">'Plot Support'!$B$19:$B$21</definedName>
    <definedName name="Payout_by_Origin_Last">'(Ranges)'!$A$1:$G$1</definedName>
    <definedName name="Payout_End">'(Ranges)'!$A$2:$U$2</definedName>
    <definedName name="Payout_EndLast">'(Ranges)'!$A$4:$G$4</definedName>
    <definedName name="_xlnm.Print_Titles" localSheetId="0">Intro!$1:$4</definedName>
    <definedName name="Return_Multiple">'(Ranges)'!$A$3:$G$3</definedName>
    <definedName name="Rounds_plt">'Plot Support'!$E$7:$E$9</definedName>
    <definedName name="Securities_plt">'(Ranges)'!$A$5:$G$5</definedName>
  </definedNames>
  <calcPr calcId="152511"/>
</workbook>
</file>

<file path=xl/calcChain.xml><?xml version="1.0" encoding="utf-8"?>
<calcChain xmlns="http://schemas.openxmlformats.org/spreadsheetml/2006/main">
  <c r="A1" i="2" l="1"/>
  <c r="A2" i="2"/>
  <c r="A3" i="2"/>
  <c r="A4" i="2"/>
  <c r="A5" i="2"/>
  <c r="A6" i="2"/>
  <c r="A7" i="2"/>
  <c r="A8" i="2"/>
  <c r="A11" i="2"/>
  <c r="A12" i="2"/>
  <c r="B13" i="2"/>
  <c r="C13" i="2"/>
  <c r="D13" i="2"/>
  <c r="A14" i="2"/>
  <c r="B14" i="2"/>
  <c r="C14" i="2"/>
  <c r="D14" i="2"/>
  <c r="H9" i="17" s="1"/>
  <c r="A15" i="2"/>
  <c r="A19" i="2"/>
  <c r="A20" i="2"/>
  <c r="A21" i="2"/>
  <c r="B22" i="2"/>
  <c r="C22" i="2"/>
  <c r="D22" i="2"/>
  <c r="A23" i="2"/>
  <c r="B23" i="2"/>
  <c r="C23" i="2"/>
  <c r="D23" i="2"/>
  <c r="A24" i="2"/>
  <c r="B24" i="2"/>
  <c r="C24" i="2"/>
  <c r="D24" i="2"/>
  <c r="A26" i="2"/>
  <c r="B27" i="2"/>
  <c r="C27" i="2"/>
  <c r="D27" i="2"/>
  <c r="E27" i="2"/>
  <c r="A28" i="2"/>
  <c r="B28" i="2"/>
  <c r="D9" i="11" s="1"/>
  <c r="C28" i="2"/>
  <c r="D28" i="2"/>
  <c r="H9" i="11" s="1"/>
  <c r="E28" i="2"/>
  <c r="H21" i="11" s="1"/>
  <c r="A29" i="2"/>
  <c r="B29" i="2"/>
  <c r="C29" i="2"/>
  <c r="AF9" i="17" s="1"/>
  <c r="D29" i="2"/>
  <c r="H10" i="11" s="1"/>
  <c r="E29" i="2"/>
  <c r="H22" i="11" s="1"/>
  <c r="A31" i="2"/>
  <c r="B32" i="2"/>
  <c r="C32" i="2"/>
  <c r="A33" i="2"/>
  <c r="B33" i="2"/>
  <c r="C33" i="2"/>
  <c r="B80" i="11" s="1"/>
  <c r="A34" i="2"/>
  <c r="B34" i="2"/>
  <c r="D32" i="3" s="1"/>
  <c r="C34" i="2"/>
  <c r="B36" i="2"/>
  <c r="C36" i="2"/>
  <c r="D36" i="2"/>
  <c r="E36" i="2"/>
  <c r="A37" i="2"/>
  <c r="A38" i="2"/>
  <c r="B38" i="2"/>
  <c r="C38" i="2"/>
  <c r="D38" i="2"/>
  <c r="A39" i="2"/>
  <c r="B39" i="2"/>
  <c r="C39" i="2"/>
  <c r="D39" i="2"/>
  <c r="D231" i="14" s="1"/>
  <c r="D230" i="3" s="1"/>
  <c r="D69" i="3" s="1"/>
  <c r="D146" i="3" s="1"/>
  <c r="A40" i="2"/>
  <c r="A44" i="2"/>
  <c r="A45" i="2"/>
  <c r="A46" i="2"/>
  <c r="A47" i="2"/>
  <c r="B48" i="2"/>
  <c r="C48" i="2"/>
  <c r="D48" i="2"/>
  <c r="A49" i="2"/>
  <c r="A50" i="2"/>
  <c r="B50" i="2"/>
  <c r="B38" i="11" s="1"/>
  <c r="C50" i="2"/>
  <c r="D50" i="2" s="1"/>
  <c r="B52" i="2"/>
  <c r="C52" i="2"/>
  <c r="A53" i="2"/>
  <c r="B53" i="2"/>
  <c r="C53" i="2"/>
  <c r="A55" i="2"/>
  <c r="B56" i="2"/>
  <c r="C56" i="2"/>
  <c r="D56" i="2"/>
  <c r="E56" i="2"/>
  <c r="A57" i="2"/>
  <c r="B57" i="2"/>
  <c r="C57" i="2"/>
  <c r="F10" i="17" s="1"/>
  <c r="D57" i="2"/>
  <c r="H12" i="11" s="1"/>
  <c r="E57" i="2"/>
  <c r="H24" i="11" s="1"/>
  <c r="A59" i="2"/>
  <c r="B60" i="2"/>
  <c r="C60" i="2"/>
  <c r="A61" i="2"/>
  <c r="B61" i="2"/>
  <c r="C61" i="2"/>
  <c r="B84" i="11" s="1"/>
  <c r="B63" i="2"/>
  <c r="C63" i="2"/>
  <c r="D63" i="2"/>
  <c r="E63" i="2"/>
  <c r="A64" i="2"/>
  <c r="A65" i="2"/>
  <c r="B65" i="2"/>
  <c r="B66" i="2" s="1"/>
  <c r="C65" i="2"/>
  <c r="D65" i="2"/>
  <c r="D66" i="2" s="1"/>
  <c r="A66" i="2"/>
  <c r="C66" i="2"/>
  <c r="A69" i="2"/>
  <c r="A70" i="2"/>
  <c r="A71" i="2"/>
  <c r="B73" i="2"/>
  <c r="C73" i="2"/>
  <c r="D73" i="2"/>
  <c r="A74" i="2"/>
  <c r="B74" i="2"/>
  <c r="B51" i="4" s="1"/>
  <c r="C74" i="2"/>
  <c r="D74" i="2"/>
  <c r="A76" i="2"/>
  <c r="B76" i="2"/>
  <c r="C76" i="2"/>
  <c r="AF10" i="17" s="1"/>
  <c r="D76" i="2"/>
  <c r="A78" i="2"/>
  <c r="B79" i="2"/>
  <c r="C79" i="2"/>
  <c r="B80" i="2"/>
  <c r="AJ10" i="17" s="1"/>
  <c r="C80" i="2"/>
  <c r="B82" i="2"/>
  <c r="C82" i="2"/>
  <c r="D82" i="2"/>
  <c r="E82" i="2"/>
  <c r="A83" i="2"/>
  <c r="B83" i="2"/>
  <c r="C83" i="2"/>
  <c r="D83" i="2"/>
  <c r="A88" i="2"/>
  <c r="A89" i="2"/>
  <c r="A90" i="2"/>
  <c r="A91" i="2"/>
  <c r="B91" i="2"/>
  <c r="D28" i="11" s="1"/>
  <c r="A92" i="2"/>
  <c r="B92" i="2"/>
  <c r="D29" i="11" s="1"/>
  <c r="B94" i="2"/>
  <c r="C94" i="2"/>
  <c r="D94" i="2"/>
  <c r="A95" i="2"/>
  <c r="A96" i="2"/>
  <c r="A97" i="2"/>
  <c r="A99" i="2"/>
  <c r="B100" i="2"/>
  <c r="C100" i="2"/>
  <c r="D100" i="2"/>
  <c r="E100" i="2"/>
  <c r="A101" i="2"/>
  <c r="B101" i="2"/>
  <c r="C101" i="2"/>
  <c r="D16" i="11" s="1"/>
  <c r="D101" i="2"/>
  <c r="E101" i="2"/>
  <c r="H16" i="11" s="1"/>
  <c r="A102" i="2"/>
  <c r="B102" i="2"/>
  <c r="C102" i="2"/>
  <c r="D102" i="2"/>
  <c r="F17" i="11" s="1"/>
  <c r="E102" i="2"/>
  <c r="H17" i="11" s="1"/>
  <c r="A103" i="2"/>
  <c r="A105" i="2"/>
  <c r="B106" i="2"/>
  <c r="C106" i="2"/>
  <c r="A107" i="2"/>
  <c r="B107" i="2"/>
  <c r="C107" i="2"/>
  <c r="B89" i="11" s="1"/>
  <c r="A108" i="2"/>
  <c r="B108" i="2"/>
  <c r="D41" i="3" s="1"/>
  <c r="C108" i="2"/>
  <c r="B110" i="2"/>
  <c r="C110" i="2"/>
  <c r="D110" i="2"/>
  <c r="E110" i="2"/>
  <c r="A111" i="2"/>
  <c r="A112" i="2"/>
  <c r="B112" i="2"/>
  <c r="C112" i="2"/>
  <c r="D112" i="2"/>
  <c r="A113" i="2"/>
  <c r="B113" i="2"/>
  <c r="C113" i="2"/>
  <c r="C114" i="2" s="1"/>
  <c r="D113" i="2"/>
  <c r="A114" i="2"/>
  <c r="D114" i="2"/>
  <c r="A118" i="2"/>
  <c r="A119" i="2"/>
  <c r="A120" i="2"/>
  <c r="A121" i="2"/>
  <c r="B121" i="2"/>
  <c r="A122" i="2"/>
  <c r="B122" i="2"/>
  <c r="A123" i="2"/>
  <c r="B123" i="2"/>
  <c r="A1" i="3"/>
  <c r="A2" i="3"/>
  <c r="A3" i="3"/>
  <c r="A4" i="3"/>
  <c r="A5" i="3"/>
  <c r="A6" i="3"/>
  <c r="A7" i="3"/>
  <c r="A8" i="3"/>
  <c r="A9" i="3"/>
  <c r="B10" i="3"/>
  <c r="C10" i="3"/>
  <c r="D10" i="3"/>
  <c r="E10" i="3"/>
  <c r="F10" i="3"/>
  <c r="A11" i="3"/>
  <c r="A12" i="3"/>
  <c r="A13" i="3"/>
  <c r="A14" i="3"/>
  <c r="A15" i="3"/>
  <c r="A16" i="3"/>
  <c r="A17" i="3"/>
  <c r="A18" i="3"/>
  <c r="A19" i="3"/>
  <c r="A20" i="3"/>
  <c r="A21" i="3"/>
  <c r="A22" i="3"/>
  <c r="A23" i="3"/>
  <c r="A24" i="3"/>
  <c r="A27" i="3"/>
  <c r="A28" i="3"/>
  <c r="B29" i="3"/>
  <c r="C29" i="3"/>
  <c r="D29" i="3"/>
  <c r="A30" i="3"/>
  <c r="A31" i="3"/>
  <c r="D31" i="3"/>
  <c r="A32" i="3"/>
  <c r="A33" i="3"/>
  <c r="D33" i="3"/>
  <c r="A34" i="3"/>
  <c r="A35" i="3"/>
  <c r="D35" i="3"/>
  <c r="A36" i="3"/>
  <c r="D36" i="3"/>
  <c r="A37" i="3"/>
  <c r="D37" i="3"/>
  <c r="A38" i="3"/>
  <c r="D38" i="3"/>
  <c r="AJ11" i="17" s="1"/>
  <c r="A39" i="3"/>
  <c r="A40" i="3"/>
  <c r="D40" i="3"/>
  <c r="A41" i="3"/>
  <c r="A42" i="3"/>
  <c r="D42" i="3"/>
  <c r="A43" i="3"/>
  <c r="D43" i="3"/>
  <c r="A47" i="3"/>
  <c r="A48" i="3"/>
  <c r="B49" i="3"/>
  <c r="C49" i="3"/>
  <c r="D49" i="3"/>
  <c r="E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B98" i="3"/>
  <c r="C98" i="3"/>
  <c r="C100" i="3" s="1"/>
  <c r="D98" i="3"/>
  <c r="E98" i="3"/>
  <c r="A99" i="3"/>
  <c r="B99" i="3"/>
  <c r="C99" i="3"/>
  <c r="D99" i="3"/>
  <c r="A100" i="3"/>
  <c r="B100" i="3"/>
  <c r="A101" i="3"/>
  <c r="A102" i="3"/>
  <c r="B102" i="3"/>
  <c r="B103" i="3" s="1"/>
  <c r="C102" i="3"/>
  <c r="C179" i="3" s="1"/>
  <c r="C180" i="3" s="1"/>
  <c r="D102" i="3"/>
  <c r="D103" i="3" s="1"/>
  <c r="A103" i="3"/>
  <c r="A104" i="3"/>
  <c r="B104" i="3"/>
  <c r="C104" i="3"/>
  <c r="C181" i="3" s="1"/>
  <c r="D104" i="3"/>
  <c r="A105" i="3"/>
  <c r="A106" i="3"/>
  <c r="A107" i="3"/>
  <c r="A108" i="3"/>
  <c r="A109" i="3"/>
  <c r="A110" i="3"/>
  <c r="A111" i="3"/>
  <c r="A112" i="3"/>
  <c r="A113" i="3"/>
  <c r="A114" i="3"/>
  <c r="A115" i="3"/>
  <c r="A116" i="3"/>
  <c r="A117" i="3"/>
  <c r="A118" i="3"/>
  <c r="A119" i="3"/>
  <c r="A120" i="3"/>
  <c r="A121" i="3"/>
  <c r="A122" i="3"/>
  <c r="A123" i="3"/>
  <c r="A124" i="3"/>
  <c r="A125" i="3"/>
  <c r="A127" i="3"/>
  <c r="A128" i="3"/>
  <c r="A129" i="3"/>
  <c r="A130" i="3"/>
  <c r="B130" i="3"/>
  <c r="A131" i="3"/>
  <c r="B131" i="3"/>
  <c r="A132" i="3"/>
  <c r="A133" i="3"/>
  <c r="A134" i="3"/>
  <c r="B134" i="3"/>
  <c r="A135" i="3"/>
  <c r="A136" i="3"/>
  <c r="B136" i="3"/>
  <c r="A137" i="3"/>
  <c r="B137" i="3"/>
  <c r="A138" i="3"/>
  <c r="A139" i="3"/>
  <c r="B139" i="3"/>
  <c r="A140" i="3"/>
  <c r="B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B175" i="3"/>
  <c r="E175" i="3" s="1"/>
  <c r="C175" i="3"/>
  <c r="D175" i="3"/>
  <c r="A176" i="3"/>
  <c r="B176" i="3"/>
  <c r="C176" i="3"/>
  <c r="D176" i="3"/>
  <c r="A177" i="3"/>
  <c r="B177" i="3"/>
  <c r="A178" i="3"/>
  <c r="A179" i="3"/>
  <c r="D179" i="3"/>
  <c r="D180" i="3" s="1"/>
  <c r="A180" i="3"/>
  <c r="A181" i="3"/>
  <c r="D181" i="3"/>
  <c r="A182" i="3"/>
  <c r="A183" i="3"/>
  <c r="A184" i="3"/>
  <c r="A185" i="3"/>
  <c r="A186" i="3"/>
  <c r="A187" i="3"/>
  <c r="A188" i="3"/>
  <c r="A189" i="3"/>
  <c r="A190" i="3"/>
  <c r="A191" i="3"/>
  <c r="A192" i="3"/>
  <c r="A193" i="3"/>
  <c r="A194" i="3"/>
  <c r="A195" i="3"/>
  <c r="A196" i="3"/>
  <c r="A197" i="3"/>
  <c r="A198" i="3"/>
  <c r="A199" i="3"/>
  <c r="A200" i="3"/>
  <c r="A201" i="3"/>
  <c r="A202" i="3"/>
  <c r="A206" i="3"/>
  <c r="A207" i="3"/>
  <c r="B208" i="3"/>
  <c r="C208" i="3"/>
  <c r="D208" i="3"/>
  <c r="A209" i="3"/>
  <c r="B209" i="3"/>
  <c r="B290" i="3" s="1"/>
  <c r="B53" i="3" s="1"/>
  <c r="C209" i="3"/>
  <c r="C7" i="4" s="1"/>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8" i="3"/>
  <c r="A289" i="3"/>
  <c r="A290" i="3"/>
  <c r="A291" i="3"/>
  <c r="A292" i="3"/>
  <c r="A293" i="3"/>
  <c r="A294" i="3"/>
  <c r="A295" i="3"/>
  <c r="A296" i="3"/>
  <c r="B296" i="3"/>
  <c r="B59" i="3" s="1"/>
  <c r="C296" i="3"/>
  <c r="D296" i="3"/>
  <c r="A297" i="3"/>
  <c r="A298" i="3"/>
  <c r="A299" i="3"/>
  <c r="A300" i="3"/>
  <c r="A301" i="3"/>
  <c r="A302" i="3"/>
  <c r="A1" i="4"/>
  <c r="A2" i="4"/>
  <c r="A3" i="4"/>
  <c r="A4" i="4"/>
  <c r="A5" i="4"/>
  <c r="B6" i="4"/>
  <c r="C6" i="4"/>
  <c r="D6" i="4"/>
  <c r="A7" i="4"/>
  <c r="A9" i="4"/>
  <c r="A10" i="4"/>
  <c r="B11" i="4"/>
  <c r="C11" i="4"/>
  <c r="D11" i="4"/>
  <c r="A12" i="4"/>
  <c r="A13" i="4"/>
  <c r="A14" i="4"/>
  <c r="A15" i="4"/>
  <c r="A16" i="4"/>
  <c r="A17" i="4"/>
  <c r="A18" i="4"/>
  <c r="A19" i="4"/>
  <c r="A20" i="4"/>
  <c r="A21" i="4"/>
  <c r="A22" i="4"/>
  <c r="A25" i="4"/>
  <c r="A26" i="4"/>
  <c r="B27" i="4"/>
  <c r="C27" i="4"/>
  <c r="D27" i="4"/>
  <c r="E27" i="4"/>
  <c r="A28" i="4"/>
  <c r="A29" i="4"/>
  <c r="A30" i="4"/>
  <c r="B30" i="4"/>
  <c r="C30" i="4"/>
  <c r="D30" i="4"/>
  <c r="A31" i="4"/>
  <c r="B31" i="4"/>
  <c r="C31" i="4"/>
  <c r="C112" i="4" s="1"/>
  <c r="D52" i="4" s="1"/>
  <c r="D31" i="4"/>
  <c r="A32" i="4"/>
  <c r="B32" i="4"/>
  <c r="A33" i="4"/>
  <c r="A34" i="4"/>
  <c r="A35" i="4"/>
  <c r="A36" i="4"/>
  <c r="A37" i="4"/>
  <c r="A38" i="4"/>
  <c r="A39" i="4"/>
  <c r="A40" i="4"/>
  <c r="A41" i="4"/>
  <c r="A42" i="4"/>
  <c r="A45" i="4"/>
  <c r="A46" i="4"/>
  <c r="B47" i="4"/>
  <c r="C47" i="4"/>
  <c r="D47" i="4"/>
  <c r="E47" i="4"/>
  <c r="A48" i="4"/>
  <c r="A49" i="4"/>
  <c r="A50" i="4"/>
  <c r="A51" i="4"/>
  <c r="A52" i="4"/>
  <c r="B52" i="4"/>
  <c r="A53" i="4"/>
  <c r="A54" i="4"/>
  <c r="A55" i="4"/>
  <c r="B55" i="4"/>
  <c r="A56" i="4"/>
  <c r="A57" i="4"/>
  <c r="B57" i="4"/>
  <c r="A58" i="4"/>
  <c r="A59" i="4"/>
  <c r="A60" i="4"/>
  <c r="B60" i="4"/>
  <c r="A61" i="4"/>
  <c r="B61" i="4"/>
  <c r="A62" i="4"/>
  <c r="A63" i="4"/>
  <c r="A64" i="4"/>
  <c r="A65" i="4"/>
  <c r="A66" i="4"/>
  <c r="B66" i="4"/>
  <c r="C66" i="4"/>
  <c r="D66" i="4"/>
  <c r="A67" i="4"/>
  <c r="B67" i="4"/>
  <c r="C67" i="4"/>
  <c r="D67" i="4"/>
  <c r="A68" i="4"/>
  <c r="D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B111" i="4"/>
  <c r="A112" i="4"/>
  <c r="D112" i="4"/>
  <c r="A113" i="4"/>
  <c r="A114" i="4"/>
  <c r="A115" i="4"/>
  <c r="A116" i="4"/>
  <c r="A117" i="4"/>
  <c r="A118" i="4"/>
  <c r="A119" i="4"/>
  <c r="A120" i="4"/>
  <c r="A121" i="4"/>
  <c r="A122" i="4"/>
  <c r="A123" i="4"/>
  <c r="A1" i="5"/>
  <c r="A2" i="5"/>
  <c r="A3" i="5"/>
  <c r="A4" i="5"/>
  <c r="A5" i="5"/>
  <c r="B6" i="5"/>
  <c r="C6" i="5"/>
  <c r="D6" i="5"/>
  <c r="A7" i="5"/>
  <c r="C7" i="5"/>
  <c r="C74" i="5" s="1"/>
  <c r="C142" i="14" s="1"/>
  <c r="A9" i="5"/>
  <c r="A10" i="5"/>
  <c r="A11" i="5"/>
  <c r="A12" i="5"/>
  <c r="A13" i="5"/>
  <c r="A14" i="5"/>
  <c r="A15" i="5"/>
  <c r="A16" i="5"/>
  <c r="A17" i="5"/>
  <c r="A18" i="5"/>
  <c r="A19" i="5"/>
  <c r="A20" i="5"/>
  <c r="A21" i="5"/>
  <c r="A22" i="5"/>
  <c r="A23" i="5"/>
  <c r="A24" i="5"/>
  <c r="A26" i="5"/>
  <c r="A27" i="5"/>
  <c r="A28" i="5"/>
  <c r="A29" i="5"/>
  <c r="A30" i="5"/>
  <c r="A31" i="5"/>
  <c r="A32" i="5"/>
  <c r="A33" i="5"/>
  <c r="A34" i="5"/>
  <c r="A35" i="5"/>
  <c r="A36" i="5"/>
  <c r="A37" i="5"/>
  <c r="A39" i="5"/>
  <c r="A40" i="5"/>
  <c r="B41" i="5"/>
  <c r="C41" i="5"/>
  <c r="D41" i="5"/>
  <c r="A42" i="5"/>
  <c r="A43" i="5"/>
  <c r="A44" i="5"/>
  <c r="A45" i="5"/>
  <c r="A46" i="5"/>
  <c r="A47" i="5"/>
  <c r="A48" i="5"/>
  <c r="B48" i="5"/>
  <c r="B32" i="5" s="1"/>
  <c r="C48" i="5"/>
  <c r="C32" i="5" s="1"/>
  <c r="BF11" i="17" s="1"/>
  <c r="D48" i="5"/>
  <c r="D32" i="5" s="1"/>
  <c r="BH11" i="17" s="1"/>
  <c r="A49" i="5"/>
  <c r="A50" i="5"/>
  <c r="A51" i="5"/>
  <c r="A52" i="5"/>
  <c r="A53" i="5"/>
  <c r="A55" i="5"/>
  <c r="A56" i="5"/>
  <c r="B57" i="5"/>
  <c r="C57" i="5"/>
  <c r="D57" i="5"/>
  <c r="A58" i="5"/>
  <c r="A59" i="5"/>
  <c r="A60" i="5"/>
  <c r="A61" i="5"/>
  <c r="A62" i="5"/>
  <c r="A63" i="5"/>
  <c r="A64" i="5"/>
  <c r="A65" i="5"/>
  <c r="B65" i="5"/>
  <c r="B133" i="14" s="1"/>
  <c r="C65" i="5"/>
  <c r="D65" i="5"/>
  <c r="D133" i="14" s="1"/>
  <c r="A66" i="5"/>
  <c r="A67" i="5"/>
  <c r="A68" i="5"/>
  <c r="A69" i="5"/>
  <c r="A70" i="5"/>
  <c r="A71" i="5"/>
  <c r="B71" i="5"/>
  <c r="B139" i="14" s="1"/>
  <c r="C71" i="5"/>
  <c r="D71" i="5"/>
  <c r="D139" i="14" s="1"/>
  <c r="A72" i="5"/>
  <c r="A73" i="5"/>
  <c r="A74" i="5"/>
  <c r="A75" i="5"/>
  <c r="A76" i="5"/>
  <c r="A77" i="5"/>
  <c r="A78" i="5"/>
  <c r="B78" i="5"/>
  <c r="B146" i="14" s="1"/>
  <c r="C78" i="5"/>
  <c r="C146" i="14" s="1"/>
  <c r="D78" i="5"/>
  <c r="A79" i="5"/>
  <c r="A80" i="5"/>
  <c r="B80" i="5"/>
  <c r="C80" i="5"/>
  <c r="D80" i="5"/>
  <c r="A81" i="5"/>
  <c r="B81" i="5"/>
  <c r="C81" i="5"/>
  <c r="D81" i="5"/>
  <c r="A82" i="5"/>
  <c r="B82" i="5"/>
  <c r="C82" i="5"/>
  <c r="D82" i="5"/>
  <c r="A83" i="5"/>
  <c r="B83" i="5"/>
  <c r="C83" i="5"/>
  <c r="D83" i="5"/>
  <c r="A84" i="5"/>
  <c r="B84" i="5"/>
  <c r="C84" i="5"/>
  <c r="D84" i="5"/>
  <c r="A85" i="5"/>
  <c r="A86" i="5"/>
  <c r="A87" i="5"/>
  <c r="A88" i="5"/>
  <c r="B88" i="5"/>
  <c r="C88" i="5"/>
  <c r="D88" i="5"/>
  <c r="A89" i="5"/>
  <c r="B89" i="5"/>
  <c r="C89" i="5"/>
  <c r="D89" i="5"/>
  <c r="A90" i="5"/>
  <c r="A91" i="5"/>
  <c r="A92" i="5"/>
  <c r="A93" i="5"/>
  <c r="A94" i="5"/>
  <c r="A95" i="5"/>
  <c r="B95" i="5"/>
  <c r="C95" i="5"/>
  <c r="D95" i="5"/>
  <c r="A96" i="5"/>
  <c r="B96" i="5"/>
  <c r="C96" i="5"/>
  <c r="D96" i="5"/>
  <c r="A97" i="5"/>
  <c r="A98" i="5"/>
  <c r="A99" i="5"/>
  <c r="C99" i="5"/>
  <c r="C167" i="14" s="1"/>
  <c r="A100" i="5"/>
  <c r="A101" i="5"/>
  <c r="B101" i="5"/>
  <c r="C101" i="5"/>
  <c r="D101" i="5"/>
  <c r="A102" i="5"/>
  <c r="B102" i="5"/>
  <c r="C102" i="5"/>
  <c r="D102" i="5"/>
  <c r="A103" i="5"/>
  <c r="A104" i="5"/>
  <c r="A105" i="5"/>
  <c r="A106" i="5"/>
  <c r="A107" i="5"/>
  <c r="A108" i="5"/>
  <c r="A109" i="5"/>
  <c r="A110" i="5"/>
  <c r="A111" i="5"/>
  <c r="A112" i="5"/>
  <c r="A113" i="5"/>
  <c r="A114" i="5"/>
  <c r="A1" i="6"/>
  <c r="A2" i="6"/>
  <c r="A3" i="6"/>
  <c r="A4" i="6"/>
  <c r="A5" i="6"/>
  <c r="B6" i="6"/>
  <c r="C6" i="6"/>
  <c r="D6" i="6"/>
  <c r="A7" i="6"/>
  <c r="C7" i="6"/>
  <c r="A9" i="6"/>
  <c r="A10" i="6"/>
  <c r="B11" i="6"/>
  <c r="C11" i="6"/>
  <c r="D11" i="6"/>
  <c r="A12" i="6"/>
  <c r="A13" i="6"/>
  <c r="A14" i="6"/>
  <c r="A15" i="6"/>
  <c r="A16" i="6"/>
  <c r="A17" i="6"/>
  <c r="A18" i="6"/>
  <c r="A19" i="6"/>
  <c r="A20" i="6"/>
  <c r="A21" i="6"/>
  <c r="A22" i="6"/>
  <c r="A25" i="6"/>
  <c r="A26" i="6"/>
  <c r="A27" i="6"/>
  <c r="B28" i="6"/>
  <c r="C28" i="6"/>
  <c r="D28" i="6"/>
  <c r="E28" i="6"/>
  <c r="A29" i="6"/>
  <c r="A30" i="6"/>
  <c r="A31" i="6"/>
  <c r="A32" i="6"/>
  <c r="A34" i="6"/>
  <c r="A35" i="6"/>
  <c r="A36" i="6"/>
  <c r="A37" i="6"/>
  <c r="A39" i="6"/>
  <c r="A40" i="6"/>
  <c r="A42" i="6"/>
  <c r="A43" i="6"/>
  <c r="A44" i="6"/>
  <c r="A45" i="6"/>
  <c r="A46" i="6"/>
  <c r="A1" i="7"/>
  <c r="A2" i="7"/>
  <c r="A3" i="7"/>
  <c r="A4" i="7"/>
  <c r="A5" i="7"/>
  <c r="B6" i="7"/>
  <c r="C6" i="7"/>
  <c r="D6" i="7"/>
  <c r="A7" i="7"/>
  <c r="A9" i="7"/>
  <c r="A10" i="7"/>
  <c r="B11" i="7"/>
  <c r="C11" i="7"/>
  <c r="D11" i="7"/>
  <c r="E11" i="7"/>
  <c r="A12" i="7"/>
  <c r="A13" i="7"/>
  <c r="B13" i="7"/>
  <c r="B43" i="14" s="1"/>
  <c r="A14" i="7"/>
  <c r="A15" i="7"/>
  <c r="A16" i="7"/>
  <c r="A17" i="7"/>
  <c r="A19" i="7"/>
  <c r="A22" i="7"/>
  <c r="A23" i="7"/>
  <c r="B24" i="7"/>
  <c r="C24" i="7"/>
  <c r="D24" i="7"/>
  <c r="E24" i="7"/>
  <c r="A25" i="7"/>
  <c r="A26" i="7"/>
  <c r="A27" i="7"/>
  <c r="B27" i="7"/>
  <c r="B45" i="14" s="1"/>
  <c r="A28" i="7"/>
  <c r="B28" i="7"/>
  <c r="B29" i="7" s="1"/>
  <c r="A29" i="7"/>
  <c r="A30" i="7"/>
  <c r="A31" i="7"/>
  <c r="A32" i="7"/>
  <c r="A33" i="7"/>
  <c r="A34" i="7"/>
  <c r="A35" i="7"/>
  <c r="A36" i="7"/>
  <c r="A37" i="7"/>
  <c r="A38" i="7"/>
  <c r="A39" i="7"/>
  <c r="A40" i="7"/>
  <c r="A41" i="7"/>
  <c r="A42" i="7"/>
  <c r="A43" i="7"/>
  <c r="A44" i="7"/>
  <c r="A45" i="7"/>
  <c r="A47" i="7"/>
  <c r="A48" i="7"/>
  <c r="A49" i="7"/>
  <c r="A50" i="7"/>
  <c r="A1" i="8"/>
  <c r="A2" i="8"/>
  <c r="A3" i="8"/>
  <c r="A4" i="8"/>
  <c r="A5" i="8"/>
  <c r="B6" i="8"/>
  <c r="C6" i="8"/>
  <c r="D6" i="8"/>
  <c r="A7" i="8"/>
  <c r="A9" i="8"/>
  <c r="A10" i="8"/>
  <c r="A12" i="8"/>
  <c r="A13" i="8"/>
  <c r="A15" i="8"/>
  <c r="A16" i="8"/>
  <c r="A18" i="8"/>
  <c r="A19" i="8"/>
  <c r="A21" i="8"/>
  <c r="A22" i="8"/>
  <c r="A1" i="9"/>
  <c r="A2" i="9"/>
  <c r="A3" i="9"/>
  <c r="A4" i="9"/>
  <c r="A5" i="9"/>
  <c r="B6" i="9"/>
  <c r="C6" i="9"/>
  <c r="D6" i="9"/>
  <c r="E6" i="9"/>
  <c r="A7" i="9"/>
  <c r="A8" i="9"/>
  <c r="A9" i="9"/>
  <c r="A10" i="9"/>
  <c r="B10" i="9"/>
  <c r="A11" i="9"/>
  <c r="A12" i="9"/>
  <c r="A13" i="9"/>
  <c r="B13" i="9"/>
  <c r="A14" i="9"/>
  <c r="A15" i="9"/>
  <c r="A16" i="9"/>
  <c r="A17" i="9"/>
  <c r="B17" i="9"/>
  <c r="A18" i="9"/>
  <c r="B18" i="9"/>
  <c r="A19" i="9"/>
  <c r="B19" i="9"/>
  <c r="A20" i="9"/>
  <c r="B20" i="9"/>
  <c r="A22" i="9"/>
  <c r="A23" i="9"/>
  <c r="B24" i="9"/>
  <c r="C24" i="9"/>
  <c r="D24" i="9"/>
  <c r="E24" i="9"/>
  <c r="A25" i="9"/>
  <c r="A26" i="9"/>
  <c r="A27" i="9"/>
  <c r="E27" i="9"/>
  <c r="A28" i="9"/>
  <c r="E28" i="9"/>
  <c r="A29" i="9"/>
  <c r="B29" i="9"/>
  <c r="C29" i="9"/>
  <c r="D29" i="9"/>
  <c r="E29" i="9"/>
  <c r="A30" i="9"/>
  <c r="A31" i="9"/>
  <c r="E31" i="9"/>
  <c r="A32" i="9"/>
  <c r="B32" i="9"/>
  <c r="C32" i="9"/>
  <c r="D32" i="9"/>
  <c r="E32" i="9"/>
  <c r="A33" i="9"/>
  <c r="E33" i="9"/>
  <c r="A34" i="9"/>
  <c r="B34" i="9"/>
  <c r="C34" i="9"/>
  <c r="D34" i="9"/>
  <c r="E34" i="9"/>
  <c r="A35" i="9"/>
  <c r="A36" i="9"/>
  <c r="B36" i="9"/>
  <c r="C36" i="9"/>
  <c r="D36" i="9"/>
  <c r="E36" i="9"/>
  <c r="A37" i="9"/>
  <c r="B37" i="9"/>
  <c r="C37" i="9"/>
  <c r="D37" i="9"/>
  <c r="E37" i="9"/>
  <c r="A38" i="9"/>
  <c r="B38" i="9"/>
  <c r="C38" i="9"/>
  <c r="D38" i="9"/>
  <c r="E38" i="9"/>
  <c r="A39" i="9"/>
  <c r="B39" i="9"/>
  <c r="C39" i="9"/>
  <c r="D39" i="9"/>
  <c r="E39" i="9"/>
  <c r="A41" i="9"/>
  <c r="A42" i="9"/>
  <c r="A43" i="9"/>
  <c r="E43" i="9"/>
  <c r="A44" i="9"/>
  <c r="E44" i="9"/>
  <c r="A45" i="9"/>
  <c r="E45" i="9"/>
  <c r="A46" i="9"/>
  <c r="A47" i="9"/>
  <c r="E47" i="9"/>
  <c r="A48" i="9"/>
  <c r="E48" i="9"/>
  <c r="A49" i="9"/>
  <c r="E49" i="9"/>
  <c r="A50" i="9"/>
  <c r="E50" i="9"/>
  <c r="A51" i="9"/>
  <c r="A52" i="9"/>
  <c r="E52" i="9"/>
  <c r="A53" i="9"/>
  <c r="E53" i="9"/>
  <c r="A54" i="9"/>
  <c r="E54" i="9"/>
  <c r="A55" i="9"/>
  <c r="E55" i="9"/>
  <c r="A57" i="9"/>
  <c r="A58" i="9"/>
  <c r="A59" i="9"/>
  <c r="E59" i="9"/>
  <c r="A60" i="9"/>
  <c r="E60" i="9"/>
  <c r="A61" i="9"/>
  <c r="E61" i="9"/>
  <c r="A62" i="9"/>
  <c r="A63" i="9"/>
  <c r="E63" i="9"/>
  <c r="A64" i="9"/>
  <c r="E64" i="9"/>
  <c r="A65" i="9"/>
  <c r="E65" i="9"/>
  <c r="A66" i="9"/>
  <c r="E66" i="9"/>
  <c r="A67" i="9"/>
  <c r="A68" i="9"/>
  <c r="E68" i="9"/>
  <c r="A69" i="9"/>
  <c r="E69" i="9"/>
  <c r="A70" i="9"/>
  <c r="E70" i="9"/>
  <c r="A71" i="9"/>
  <c r="E71" i="9"/>
  <c r="A73" i="9"/>
  <c r="A74" i="9"/>
  <c r="A75" i="9"/>
  <c r="A76" i="9"/>
  <c r="A77" i="9"/>
  <c r="A79" i="9"/>
  <c r="A80" i="9"/>
  <c r="A81" i="9"/>
  <c r="A82" i="9"/>
  <c r="A1" i="10"/>
  <c r="A2" i="10"/>
  <c r="A3" i="10"/>
  <c r="A4" i="10"/>
  <c r="B6" i="10"/>
  <c r="B8" i="10"/>
  <c r="B10" i="10"/>
  <c r="B21" i="10"/>
  <c r="B23" i="10"/>
  <c r="B25" i="10"/>
  <c r="B27" i="10"/>
  <c r="B29" i="10"/>
  <c r="B31" i="10"/>
  <c r="B33" i="10"/>
  <c r="B35" i="10"/>
  <c r="B38" i="10"/>
  <c r="B41" i="10"/>
  <c r="B43" i="10"/>
  <c r="B45" i="10"/>
  <c r="B47" i="10"/>
  <c r="B49" i="10"/>
  <c r="B51" i="10"/>
  <c r="B57" i="10"/>
  <c r="B59" i="10"/>
  <c r="B61" i="10"/>
  <c r="B63" i="10"/>
  <c r="B65" i="10"/>
  <c r="B67" i="10"/>
  <c r="B73" i="10"/>
  <c r="B75" i="10"/>
  <c r="B77" i="10"/>
  <c r="B79" i="10"/>
  <c r="B81" i="10"/>
  <c r="B83" i="10"/>
  <c r="B85" i="10"/>
  <c r="B87" i="10"/>
  <c r="B89" i="10"/>
  <c r="B91" i="10"/>
  <c r="B98" i="10"/>
  <c r="B107" i="10"/>
  <c r="B109" i="10"/>
  <c r="B111" i="10"/>
  <c r="B113" i="10"/>
  <c r="B115" i="10"/>
  <c r="B118" i="10"/>
  <c r="B120" i="10"/>
  <c r="B122" i="10"/>
  <c r="B124" i="10"/>
  <c r="B126" i="10"/>
  <c r="B128" i="10"/>
  <c r="B130" i="10"/>
  <c r="B132" i="10"/>
  <c r="B138" i="10"/>
  <c r="B140" i="10"/>
  <c r="B143" i="10"/>
  <c r="B147" i="10"/>
  <c r="B149" i="10"/>
  <c r="B151" i="10"/>
  <c r="B153" i="10"/>
  <c r="B160" i="10"/>
  <c r="B162" i="10"/>
  <c r="B164" i="10"/>
  <c r="B166" i="10"/>
  <c r="B169" i="10"/>
  <c r="B172" i="10"/>
  <c r="B174" i="10"/>
  <c r="B177" i="10"/>
  <c r="B183" i="10"/>
  <c r="B187" i="10"/>
  <c r="B189" i="10"/>
  <c r="B195" i="10"/>
  <c r="B197" i="10"/>
  <c r="B199" i="10"/>
  <c r="B201" i="10"/>
  <c r="B203" i="10"/>
  <c r="B205" i="10"/>
  <c r="B209" i="10"/>
  <c r="B211" i="10"/>
  <c r="B221" i="10"/>
  <c r="B223" i="10"/>
  <c r="A1" i="11"/>
  <c r="A2" i="11"/>
  <c r="A3" i="11"/>
  <c r="A4" i="11"/>
  <c r="A5" i="11"/>
  <c r="A6" i="11"/>
  <c r="A7" i="11"/>
  <c r="C7" i="11"/>
  <c r="E7" i="11"/>
  <c r="G7" i="11"/>
  <c r="A8" i="11"/>
  <c r="C8" i="11"/>
  <c r="E8" i="11"/>
  <c r="G8" i="11"/>
  <c r="A9" i="11"/>
  <c r="B9" i="11"/>
  <c r="C9" i="11"/>
  <c r="E9" i="11"/>
  <c r="F9" i="11"/>
  <c r="G9" i="11"/>
  <c r="A10" i="11"/>
  <c r="B10" i="11"/>
  <c r="C10" i="11"/>
  <c r="D10" i="11"/>
  <c r="E10" i="11"/>
  <c r="G10" i="11"/>
  <c r="A11" i="11"/>
  <c r="C11" i="11"/>
  <c r="E11" i="11"/>
  <c r="G11" i="11"/>
  <c r="A12" i="11"/>
  <c r="B12" i="11"/>
  <c r="AT12" i="17" s="1"/>
  <c r="C12" i="11"/>
  <c r="D12" i="11"/>
  <c r="E12" i="11"/>
  <c r="G12" i="11"/>
  <c r="A13" i="11"/>
  <c r="B13" i="11"/>
  <c r="C13" i="11"/>
  <c r="D13" i="11"/>
  <c r="BD12" i="17" s="1"/>
  <c r="E13" i="11"/>
  <c r="F13" i="11"/>
  <c r="G13" i="11"/>
  <c r="H13" i="11"/>
  <c r="A14" i="11"/>
  <c r="B14" i="11"/>
  <c r="C14" i="11"/>
  <c r="D14" i="11"/>
  <c r="E14" i="11"/>
  <c r="F14" i="11"/>
  <c r="BJ12" i="17" s="1"/>
  <c r="G14" i="11"/>
  <c r="H14" i="11"/>
  <c r="A15" i="11"/>
  <c r="C15" i="11"/>
  <c r="E15" i="11"/>
  <c r="G15" i="11"/>
  <c r="A16" i="11"/>
  <c r="B16" i="11"/>
  <c r="C16" i="11"/>
  <c r="E16" i="11"/>
  <c r="F16" i="11"/>
  <c r="G16" i="11"/>
  <c r="A17" i="11"/>
  <c r="B17" i="11"/>
  <c r="BB12" i="17" s="1"/>
  <c r="C17" i="11"/>
  <c r="D17" i="11"/>
  <c r="E17" i="11"/>
  <c r="G17" i="11"/>
  <c r="A19" i="11"/>
  <c r="C19" i="11"/>
  <c r="E19" i="11"/>
  <c r="G19" i="11"/>
  <c r="A20" i="11"/>
  <c r="C20" i="11"/>
  <c r="E20" i="11"/>
  <c r="G20" i="11"/>
  <c r="A21" i="11"/>
  <c r="B21" i="11"/>
  <c r="C21" i="11"/>
  <c r="D21" i="11"/>
  <c r="L13" i="17" s="1"/>
  <c r="E21" i="11"/>
  <c r="F21" i="11"/>
  <c r="G21" i="11"/>
  <c r="A22" i="11"/>
  <c r="B22" i="11"/>
  <c r="C22" i="11"/>
  <c r="D22" i="11"/>
  <c r="E22" i="11"/>
  <c r="F22" i="11"/>
  <c r="G22" i="11"/>
  <c r="A23" i="11"/>
  <c r="C23" i="11"/>
  <c r="E23" i="11"/>
  <c r="G23" i="11"/>
  <c r="A24" i="11"/>
  <c r="C24" i="11"/>
  <c r="D24" i="11"/>
  <c r="E24" i="11"/>
  <c r="F24" i="11"/>
  <c r="G24" i="11"/>
  <c r="A25" i="11"/>
  <c r="B25" i="11"/>
  <c r="C25" i="11"/>
  <c r="D25" i="11"/>
  <c r="R13" i="17" s="1"/>
  <c r="E25" i="11"/>
  <c r="F25" i="11"/>
  <c r="V13" i="17" s="1"/>
  <c r="G25" i="11"/>
  <c r="H25" i="11"/>
  <c r="A26" i="11"/>
  <c r="B26" i="11"/>
  <c r="F13" i="17" s="1"/>
  <c r="C26" i="11"/>
  <c r="D26" i="11"/>
  <c r="T13" i="17" s="1"/>
  <c r="E26" i="11"/>
  <c r="F26" i="11"/>
  <c r="G26" i="11"/>
  <c r="H26" i="11"/>
  <c r="A27" i="11"/>
  <c r="C27" i="11"/>
  <c r="E27" i="11"/>
  <c r="G27" i="11"/>
  <c r="A28" i="11"/>
  <c r="B28" i="11"/>
  <c r="C28" i="11"/>
  <c r="E28" i="11"/>
  <c r="F28" i="11"/>
  <c r="G28" i="11"/>
  <c r="H28" i="11"/>
  <c r="A29" i="11"/>
  <c r="B29" i="11"/>
  <c r="J13" i="17" s="1"/>
  <c r="C29" i="11"/>
  <c r="E29" i="11"/>
  <c r="F29" i="11"/>
  <c r="AB13" i="17" s="1"/>
  <c r="G29" i="11"/>
  <c r="H29" i="11"/>
  <c r="B32" i="11"/>
  <c r="C32" i="11"/>
  <c r="D32" i="11"/>
  <c r="A33" i="11"/>
  <c r="A34" i="11"/>
  <c r="A35" i="11"/>
  <c r="B35" i="11"/>
  <c r="C35" i="11" s="1"/>
  <c r="D35" i="11" s="1"/>
  <c r="A36" i="11"/>
  <c r="B36" i="11"/>
  <c r="C36" i="11" s="1"/>
  <c r="D36" i="11" s="1"/>
  <c r="A37" i="11"/>
  <c r="A38" i="11"/>
  <c r="C38" i="11"/>
  <c r="A39" i="11"/>
  <c r="B39" i="11"/>
  <c r="AX13" i="17" s="1"/>
  <c r="A40" i="11"/>
  <c r="B40" i="11"/>
  <c r="C40" i="11" s="1"/>
  <c r="A41" i="11"/>
  <c r="A42" i="11"/>
  <c r="B42" i="11"/>
  <c r="C42" i="11" s="1"/>
  <c r="D42" i="11" s="1"/>
  <c r="A43" i="11"/>
  <c r="B43" i="11"/>
  <c r="C43" i="11" s="1"/>
  <c r="D43" i="11" s="1"/>
  <c r="H14" i="17" s="1"/>
  <c r="A45" i="11"/>
  <c r="A46" i="11"/>
  <c r="A47" i="11"/>
  <c r="B47" i="11"/>
  <c r="B49" i="11" s="1"/>
  <c r="C47" i="11"/>
  <c r="A48" i="11"/>
  <c r="B48" i="11"/>
  <c r="C48" i="11"/>
  <c r="C49" i="11" s="1"/>
  <c r="A49" i="11"/>
  <c r="A50" i="11"/>
  <c r="A51" i="11"/>
  <c r="B51" i="11"/>
  <c r="C51" i="11"/>
  <c r="D51" i="11"/>
  <c r="A52" i="11"/>
  <c r="B52" i="11"/>
  <c r="C52" i="11"/>
  <c r="D52" i="11"/>
  <c r="A53" i="11"/>
  <c r="B53" i="11"/>
  <c r="D53" i="11"/>
  <c r="A54" i="11"/>
  <c r="B54" i="11"/>
  <c r="C54" i="11"/>
  <c r="L14" i="17" s="1"/>
  <c r="D54" i="11"/>
  <c r="N14" i="17" s="1"/>
  <c r="A55" i="11"/>
  <c r="A56" i="11"/>
  <c r="B56" i="11"/>
  <c r="C56" i="11"/>
  <c r="D56" i="11"/>
  <c r="A57" i="11"/>
  <c r="B57" i="11"/>
  <c r="B58" i="11" s="1"/>
  <c r="C57" i="11"/>
  <c r="D57" i="11"/>
  <c r="D240" i="14" s="1"/>
  <c r="A58" i="11"/>
  <c r="A59" i="11"/>
  <c r="A61" i="11"/>
  <c r="A62" i="11"/>
  <c r="A63" i="11"/>
  <c r="B63" i="11"/>
  <c r="C63" i="11"/>
  <c r="D63" i="11"/>
  <c r="A64" i="11"/>
  <c r="B64" i="11"/>
  <c r="C64" i="11"/>
  <c r="C65" i="11" s="1"/>
  <c r="D64" i="11"/>
  <c r="A65" i="11"/>
  <c r="A66" i="11"/>
  <c r="A67" i="11"/>
  <c r="B67" i="11"/>
  <c r="B68" i="11" s="1"/>
  <c r="C67" i="11"/>
  <c r="C68" i="11" s="1"/>
  <c r="D67" i="11"/>
  <c r="D68" i="11" s="1"/>
  <c r="A68" i="11"/>
  <c r="A69" i="11"/>
  <c r="B69" i="11"/>
  <c r="C69" i="11"/>
  <c r="E69" i="11" s="1"/>
  <c r="D69" i="11"/>
  <c r="A70" i="11"/>
  <c r="B70" i="11"/>
  <c r="C70" i="11"/>
  <c r="D70" i="11"/>
  <c r="A71" i="11"/>
  <c r="A72" i="11"/>
  <c r="B72" i="11"/>
  <c r="C72" i="11"/>
  <c r="D72" i="11"/>
  <c r="A73" i="11"/>
  <c r="B73" i="11"/>
  <c r="C73" i="11"/>
  <c r="C74" i="11" s="1"/>
  <c r="D73" i="11"/>
  <c r="A74" i="11"/>
  <c r="B74" i="11"/>
  <c r="A75" i="11"/>
  <c r="A78" i="11"/>
  <c r="A79" i="11"/>
  <c r="A80" i="11"/>
  <c r="A81" i="11"/>
  <c r="B81" i="11"/>
  <c r="A82" i="11"/>
  <c r="A83" i="11"/>
  <c r="A84" i="11"/>
  <c r="A85" i="11"/>
  <c r="B85" i="11"/>
  <c r="A86" i="11"/>
  <c r="B86" i="11"/>
  <c r="A87" i="11"/>
  <c r="B87" i="11"/>
  <c r="BF14" i="17" s="1"/>
  <c r="A88" i="11"/>
  <c r="A89" i="11"/>
  <c r="A90" i="11"/>
  <c r="B90" i="11"/>
  <c r="A91" i="11"/>
  <c r="A92" i="11"/>
  <c r="A1" i="12"/>
  <c r="A2" i="12"/>
  <c r="A3" i="12"/>
  <c r="A4" i="12"/>
  <c r="A5" i="12"/>
  <c r="A6" i="12"/>
  <c r="D6" i="12"/>
  <c r="A7" i="12"/>
  <c r="D7" i="12"/>
  <c r="E7" i="12"/>
  <c r="A8" i="12"/>
  <c r="B8" i="12"/>
  <c r="A5" i="16" s="1"/>
  <c r="D8" i="12"/>
  <c r="E8" i="12"/>
  <c r="A9" i="12"/>
  <c r="B9" i="12"/>
  <c r="B5" i="16" s="1"/>
  <c r="D9" i="12"/>
  <c r="E9" i="12"/>
  <c r="A10" i="12"/>
  <c r="A11" i="12"/>
  <c r="B11" i="12"/>
  <c r="C5" i="16" s="1"/>
  <c r="A12" i="12"/>
  <c r="B12" i="12"/>
  <c r="A13" i="12"/>
  <c r="B13" i="12"/>
  <c r="E5" i="16" s="1"/>
  <c r="A14" i="12"/>
  <c r="A15" i="12"/>
  <c r="B15" i="12"/>
  <c r="F5" i="16" s="1"/>
  <c r="A16" i="12"/>
  <c r="B16" i="12"/>
  <c r="B18" i="12"/>
  <c r="C18" i="12"/>
  <c r="A19" i="12"/>
  <c r="A20" i="12"/>
  <c r="A21" i="12"/>
  <c r="A22" i="12"/>
  <c r="A24" i="12"/>
  <c r="D24" i="12"/>
  <c r="A25" i="12"/>
  <c r="D25" i="12"/>
  <c r="A26" i="12"/>
  <c r="D26" i="12"/>
  <c r="A27" i="12"/>
  <c r="D27" i="12"/>
  <c r="A29" i="12"/>
  <c r="D29" i="12"/>
  <c r="A30" i="12"/>
  <c r="D30" i="12"/>
  <c r="A31" i="12"/>
  <c r="D31" i="12"/>
  <c r="A32" i="12"/>
  <c r="D32" i="12"/>
  <c r="A34" i="12"/>
  <c r="D34" i="12"/>
  <c r="A35" i="12"/>
  <c r="D35" i="12"/>
  <c r="A36" i="12"/>
  <c r="D36" i="12"/>
  <c r="A37" i="12"/>
  <c r="D37" i="12"/>
  <c r="A39" i="12"/>
  <c r="D39" i="12"/>
  <c r="A40" i="12"/>
  <c r="D40" i="12"/>
  <c r="A41" i="12"/>
  <c r="D41" i="12"/>
  <c r="A42" i="12"/>
  <c r="D42" i="12"/>
  <c r="A44" i="12"/>
  <c r="D44" i="12"/>
  <c r="A45" i="12"/>
  <c r="D45" i="12"/>
  <c r="A46" i="12"/>
  <c r="D46" i="12"/>
  <c r="A47" i="12"/>
  <c r="D47" i="12"/>
  <c r="A49" i="12"/>
  <c r="A50" i="12"/>
  <c r="B50" i="12"/>
  <c r="A51" i="12"/>
  <c r="B51" i="12"/>
  <c r="A52" i="12"/>
  <c r="B52" i="12"/>
  <c r="A53" i="12"/>
  <c r="A55" i="12"/>
  <c r="A56" i="12"/>
  <c r="A57" i="12"/>
  <c r="A58" i="12"/>
  <c r="B60" i="12"/>
  <c r="C60" i="12"/>
  <c r="D60" i="12"/>
  <c r="E60" i="12"/>
  <c r="A61" i="12"/>
  <c r="A62" i="12"/>
  <c r="A63" i="12"/>
  <c r="E63" i="12"/>
  <c r="A64" i="12"/>
  <c r="E64" i="12"/>
  <c r="A65" i="12"/>
  <c r="E65" i="12"/>
  <c r="A66" i="12"/>
  <c r="A67" i="12"/>
  <c r="E67" i="12"/>
  <c r="A68" i="12"/>
  <c r="E68" i="12"/>
  <c r="A69" i="12"/>
  <c r="E69" i="12"/>
  <c r="A70" i="12"/>
  <c r="E70" i="12"/>
  <c r="A71" i="12"/>
  <c r="A72" i="12"/>
  <c r="E72" i="12"/>
  <c r="A73" i="12"/>
  <c r="E73" i="12"/>
  <c r="A74" i="12"/>
  <c r="E74" i="12"/>
  <c r="A75" i="12"/>
  <c r="E75" i="12"/>
  <c r="A77" i="12"/>
  <c r="A78" i="12"/>
  <c r="A79" i="12"/>
  <c r="A80" i="12"/>
  <c r="A81" i="12"/>
  <c r="A82" i="12"/>
  <c r="A83" i="12"/>
  <c r="A84" i="12"/>
  <c r="A85" i="12"/>
  <c r="A86" i="12"/>
  <c r="A87" i="12"/>
  <c r="A88" i="12"/>
  <c r="A89" i="12"/>
  <c r="A90" i="12"/>
  <c r="A91" i="12"/>
  <c r="A93" i="12"/>
  <c r="A94" i="12"/>
  <c r="A95" i="12"/>
  <c r="A96" i="12"/>
  <c r="A97" i="12"/>
  <c r="A98" i="12"/>
  <c r="A99" i="12"/>
  <c r="A100" i="12"/>
  <c r="A101" i="12"/>
  <c r="A102" i="12"/>
  <c r="A103" i="12"/>
  <c r="A104" i="12"/>
  <c r="A105" i="12"/>
  <c r="A106" i="12"/>
  <c r="A107" i="12"/>
  <c r="A1" i="13"/>
  <c r="A2" i="13"/>
  <c r="A3" i="13"/>
  <c r="A1" i="14"/>
  <c r="A2" i="14"/>
  <c r="A3" i="14"/>
  <c r="A4" i="14"/>
  <c r="A6" i="14"/>
  <c r="A7" i="14"/>
  <c r="B7" i="14"/>
  <c r="A8" i="14"/>
  <c r="B8" i="14"/>
  <c r="A9" i="14"/>
  <c r="A10" i="14"/>
  <c r="B10" i="14"/>
  <c r="A11" i="14"/>
  <c r="B11" i="14"/>
  <c r="A12" i="14"/>
  <c r="B12" i="14"/>
  <c r="A13" i="14"/>
  <c r="A14" i="14"/>
  <c r="B14" i="14"/>
  <c r="A15" i="14"/>
  <c r="B15" i="14"/>
  <c r="A16" i="14"/>
  <c r="B17" i="14"/>
  <c r="C17" i="14"/>
  <c r="D17" i="14"/>
  <c r="E17" i="14"/>
  <c r="A18" i="14"/>
  <c r="A19" i="14"/>
  <c r="B19" i="14"/>
  <c r="C19" i="14"/>
  <c r="D19" i="14"/>
  <c r="D14" i="6" s="1"/>
  <c r="T12" i="17" s="1"/>
  <c r="E19" i="14"/>
  <c r="A20" i="14"/>
  <c r="B20" i="14"/>
  <c r="B15" i="6" s="1"/>
  <c r="C20" i="14"/>
  <c r="C15" i="6" s="1"/>
  <c r="X12" i="17" s="1"/>
  <c r="D20" i="14"/>
  <c r="D15" i="6" s="1"/>
  <c r="Z12" i="17" s="1"/>
  <c r="E20" i="14"/>
  <c r="A21" i="14"/>
  <c r="E21" i="14"/>
  <c r="A22" i="14"/>
  <c r="A23" i="14"/>
  <c r="E23" i="14"/>
  <c r="A24" i="14"/>
  <c r="E24" i="14"/>
  <c r="A25" i="14"/>
  <c r="E25" i="14"/>
  <c r="A26" i="14"/>
  <c r="E26" i="14"/>
  <c r="A27" i="14"/>
  <c r="A28" i="14"/>
  <c r="E28" i="14"/>
  <c r="A29" i="14"/>
  <c r="E29" i="14"/>
  <c r="A30" i="14"/>
  <c r="E30" i="14"/>
  <c r="A31" i="14"/>
  <c r="E31" i="14"/>
  <c r="A32" i="14"/>
  <c r="B33" i="14"/>
  <c r="C33" i="14"/>
  <c r="D33" i="14"/>
  <c r="E33" i="14"/>
  <c r="A34" i="14"/>
  <c r="A35" i="14"/>
  <c r="A36" i="14"/>
  <c r="B36" i="14"/>
  <c r="A37" i="14"/>
  <c r="B37" i="14"/>
  <c r="A38" i="14"/>
  <c r="A39" i="14"/>
  <c r="A40" i="14"/>
  <c r="B40" i="14"/>
  <c r="B41" i="14" s="1"/>
  <c r="A41" i="14"/>
  <c r="A42" i="14"/>
  <c r="B42" i="14"/>
  <c r="A43" i="14"/>
  <c r="A44" i="14"/>
  <c r="A45" i="14"/>
  <c r="A46" i="14"/>
  <c r="B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B110" i="14"/>
  <c r="C110" i="14"/>
  <c r="D110" i="14"/>
  <c r="E110" i="14"/>
  <c r="A111" i="14"/>
  <c r="A112" i="14"/>
  <c r="B112" i="14"/>
  <c r="C112" i="14"/>
  <c r="D112" i="14"/>
  <c r="A113" i="14"/>
  <c r="B113" i="14"/>
  <c r="C113" i="14"/>
  <c r="D113" i="14"/>
  <c r="D52" i="14" s="1"/>
  <c r="A114" i="14"/>
  <c r="B114" i="14"/>
  <c r="A14" i="13" s="1"/>
  <c r="A115" i="14"/>
  <c r="A116" i="14"/>
  <c r="B116" i="14"/>
  <c r="C116" i="14"/>
  <c r="A117" i="14"/>
  <c r="A118" i="14"/>
  <c r="B118" i="14"/>
  <c r="C14" i="13" s="1"/>
  <c r="C118" i="14"/>
  <c r="D118" i="14"/>
  <c r="D57" i="14" s="1"/>
  <c r="A119" i="14"/>
  <c r="B119" i="14"/>
  <c r="C119" i="14"/>
  <c r="C73" i="4" s="1"/>
  <c r="D119" i="14"/>
  <c r="A120" i="14"/>
  <c r="A121" i="14"/>
  <c r="B121" i="14"/>
  <c r="C121" i="14"/>
  <c r="D121" i="14"/>
  <c r="A122" i="14"/>
  <c r="B122" i="14"/>
  <c r="C122" i="14"/>
  <c r="D122" i="14"/>
  <c r="D76" i="4" s="1"/>
  <c r="A123" i="14"/>
  <c r="A124" i="14"/>
  <c r="A125" i="14"/>
  <c r="B126" i="14"/>
  <c r="C126" i="14"/>
  <c r="D126" i="14"/>
  <c r="A127" i="14"/>
  <c r="A128" i="14"/>
  <c r="A129" i="14"/>
  <c r="A130" i="14"/>
  <c r="A131" i="14"/>
  <c r="A132" i="14"/>
  <c r="A133" i="14"/>
  <c r="C133" i="14"/>
  <c r="A134" i="14"/>
  <c r="A135" i="14"/>
  <c r="A136" i="14"/>
  <c r="A137" i="14"/>
  <c r="A138" i="14"/>
  <c r="A139" i="14"/>
  <c r="C139" i="14"/>
  <c r="A140" i="14"/>
  <c r="A141" i="14"/>
  <c r="A142" i="14"/>
  <c r="A143" i="14"/>
  <c r="A144" i="14"/>
  <c r="A145" i="14"/>
  <c r="A146" i="14"/>
  <c r="D146" i="14"/>
  <c r="A147" i="14"/>
  <c r="A148" i="14"/>
  <c r="B148" i="14"/>
  <c r="C148" i="14"/>
  <c r="D148" i="14"/>
  <c r="A149" i="14"/>
  <c r="B149" i="14"/>
  <c r="C149" i="14"/>
  <c r="D149" i="14"/>
  <c r="A150" i="14"/>
  <c r="B150" i="14"/>
  <c r="C150" i="14"/>
  <c r="D150" i="14"/>
  <c r="A151" i="14"/>
  <c r="B151" i="14"/>
  <c r="C151" i="14"/>
  <c r="D151" i="14"/>
  <c r="A152" i="14"/>
  <c r="B152" i="14"/>
  <c r="C152" i="14"/>
  <c r="D152" i="14"/>
  <c r="A153" i="14"/>
  <c r="A154" i="14"/>
  <c r="A155" i="14"/>
  <c r="A156" i="14"/>
  <c r="B156" i="14"/>
  <c r="C156" i="14"/>
  <c r="D156" i="14"/>
  <c r="A157" i="14"/>
  <c r="B157" i="14"/>
  <c r="C157" i="14"/>
  <c r="D157" i="14"/>
  <c r="A158" i="14"/>
  <c r="A159" i="14"/>
  <c r="A160" i="14"/>
  <c r="A161" i="14"/>
  <c r="A162" i="14"/>
  <c r="A163" i="14"/>
  <c r="B163" i="14"/>
  <c r="C163" i="14"/>
  <c r="D163" i="14"/>
  <c r="A164" i="14"/>
  <c r="B164" i="14"/>
  <c r="C164" i="14"/>
  <c r="D164" i="14"/>
  <c r="A165" i="14"/>
  <c r="A166" i="14"/>
  <c r="A167" i="14"/>
  <c r="A168" i="14"/>
  <c r="A169" i="14"/>
  <c r="B169" i="14"/>
  <c r="C169" i="14"/>
  <c r="D169" i="14"/>
  <c r="A170" i="14"/>
  <c r="B170" i="14"/>
  <c r="C170" i="14"/>
  <c r="D170" i="14"/>
  <c r="A171" i="14"/>
  <c r="A172" i="14"/>
  <c r="B173" i="14"/>
  <c r="C173" i="14"/>
  <c r="D173" i="14"/>
  <c r="E173" i="14"/>
  <c r="A174" i="14"/>
  <c r="A175" i="14"/>
  <c r="A176" i="14"/>
  <c r="A177" i="14"/>
  <c r="A178" i="14"/>
  <c r="A179" i="14"/>
  <c r="A180" i="14"/>
  <c r="A181" i="14"/>
  <c r="A182" i="14"/>
  <c r="A183" i="14"/>
  <c r="A184" i="14"/>
  <c r="A185" i="14"/>
  <c r="A186" i="14"/>
  <c r="A187" i="14"/>
  <c r="A188" i="14"/>
  <c r="B189" i="14"/>
  <c r="C189" i="14"/>
  <c r="D189" i="14"/>
  <c r="A190" i="14"/>
  <c r="A191" i="14"/>
  <c r="A192" i="14"/>
  <c r="A193" i="14"/>
  <c r="A194" i="14"/>
  <c r="A195" i="14"/>
  <c r="B196" i="14"/>
  <c r="C196" i="14"/>
  <c r="D196" i="14"/>
  <c r="E196" i="14"/>
  <c r="A197" i="14"/>
  <c r="A198" i="14"/>
  <c r="A199" i="14"/>
  <c r="A200" i="14"/>
  <c r="A201" i="14"/>
  <c r="A202" i="14"/>
  <c r="A203" i="14"/>
  <c r="A204" i="14"/>
  <c r="A205" i="14"/>
  <c r="A206" i="14"/>
  <c r="A207" i="14"/>
  <c r="A208" i="14"/>
  <c r="A209" i="14"/>
  <c r="A210" i="14"/>
  <c r="A211" i="14"/>
  <c r="B212" i="14"/>
  <c r="C212" i="14"/>
  <c r="D212" i="14"/>
  <c r="E212" i="14"/>
  <c r="A213" i="14"/>
  <c r="A214" i="14"/>
  <c r="A215" i="14"/>
  <c r="A216" i="14"/>
  <c r="A217" i="14"/>
  <c r="A218" i="14"/>
  <c r="A219" i="14"/>
  <c r="A220" i="14"/>
  <c r="A221" i="14"/>
  <c r="A222" i="14"/>
  <c r="A223" i="14"/>
  <c r="A224" i="14"/>
  <c r="A225" i="14"/>
  <c r="A226" i="14"/>
  <c r="A227" i="14"/>
  <c r="B228" i="14"/>
  <c r="C228" i="14"/>
  <c r="D228" i="14"/>
  <c r="E228" i="14"/>
  <c r="A229" i="14"/>
  <c r="A230" i="14"/>
  <c r="B230" i="14"/>
  <c r="C230" i="14"/>
  <c r="C229" i="3" s="1"/>
  <c r="A231" i="14"/>
  <c r="B231" i="14"/>
  <c r="C231" i="14"/>
  <c r="C230" i="3" s="1"/>
  <c r="C69" i="3" s="1"/>
  <c r="C146" i="3" s="1"/>
  <c r="A232" i="14"/>
  <c r="A233" i="14"/>
  <c r="A234" i="14"/>
  <c r="B234" i="14"/>
  <c r="B235" i="14" s="1"/>
  <c r="D234" i="14"/>
  <c r="D233" i="3" s="1"/>
  <c r="A235" i="14"/>
  <c r="A236" i="14"/>
  <c r="B236" i="14"/>
  <c r="B235" i="3" s="1"/>
  <c r="C236" i="14"/>
  <c r="C235" i="3" s="1"/>
  <c r="C74" i="3" s="1"/>
  <c r="C151" i="3" s="1"/>
  <c r="D236" i="14"/>
  <c r="D235" i="3" s="1"/>
  <c r="D74" i="3" s="1"/>
  <c r="D151" i="3" s="1"/>
  <c r="A237" i="14"/>
  <c r="C237" i="14"/>
  <c r="D237" i="14"/>
  <c r="A238" i="14"/>
  <c r="A239" i="14"/>
  <c r="B239" i="14"/>
  <c r="C239" i="14"/>
  <c r="A240" i="14"/>
  <c r="B240" i="14"/>
  <c r="C240" i="14"/>
  <c r="C241" i="14" s="1"/>
  <c r="A241" i="14"/>
  <c r="A242" i="14"/>
  <c r="A243" i="14"/>
  <c r="B244" i="14"/>
  <c r="C244" i="14"/>
  <c r="D244" i="14"/>
  <c r="E244" i="14"/>
  <c r="A245" i="14"/>
  <c r="A246" i="14"/>
  <c r="A247" i="14"/>
  <c r="A248" i="14"/>
  <c r="A249" i="14"/>
  <c r="A250" i="14"/>
  <c r="A251" i="14"/>
  <c r="A252" i="14"/>
  <c r="B252" i="14"/>
  <c r="A253" i="14"/>
  <c r="B253" i="14"/>
  <c r="A254" i="14"/>
  <c r="A255" i="14"/>
  <c r="A256" i="14"/>
  <c r="A257" i="14"/>
  <c r="A258" i="14"/>
  <c r="A259" i="14"/>
  <c r="B260" i="14"/>
  <c r="C260" i="14"/>
  <c r="D260" i="14"/>
  <c r="A261" i="14"/>
  <c r="A262" i="14"/>
  <c r="A263" i="14"/>
  <c r="A264" i="14"/>
  <c r="A265" i="14"/>
  <c r="A266" i="14"/>
  <c r="A267" i="14"/>
  <c r="A268" i="14"/>
  <c r="A269" i="14"/>
  <c r="A270" i="14"/>
  <c r="A271" i="14"/>
  <c r="B272" i="14"/>
  <c r="C272" i="14"/>
  <c r="D272" i="14"/>
  <c r="E272" i="14"/>
  <c r="A273" i="14"/>
  <c r="A274" i="14"/>
  <c r="E274" i="14"/>
  <c r="A275" i="14"/>
  <c r="E275" i="14"/>
  <c r="A276" i="14"/>
  <c r="E276" i="14"/>
  <c r="A277" i="14"/>
  <c r="A278" i="14"/>
  <c r="E278" i="14"/>
  <c r="A279" i="14"/>
  <c r="E279" i="14"/>
  <c r="A280" i="14"/>
  <c r="E280" i="14"/>
  <c r="A281" i="14"/>
  <c r="E281" i="14"/>
  <c r="A282" i="14"/>
  <c r="A283" i="14"/>
  <c r="E283" i="14"/>
  <c r="A284" i="14"/>
  <c r="E284" i="14"/>
  <c r="A285" i="14"/>
  <c r="E285" i="14"/>
  <c r="A286" i="14"/>
  <c r="E286" i="14"/>
  <c r="A287" i="14"/>
  <c r="B288" i="14"/>
  <c r="C288" i="14"/>
  <c r="D288" i="14"/>
  <c r="E288" i="14"/>
  <c r="A289" i="14"/>
  <c r="A290" i="14"/>
  <c r="B290" i="14"/>
  <c r="C290" i="14"/>
  <c r="D290" i="14"/>
  <c r="E290" i="14"/>
  <c r="A291" i="14"/>
  <c r="B291" i="14"/>
  <c r="C291" i="14"/>
  <c r="D291" i="14"/>
  <c r="E291" i="14" s="1"/>
  <c r="A292" i="14"/>
  <c r="C292" i="14"/>
  <c r="A293" i="14"/>
  <c r="A294" i="14"/>
  <c r="B294" i="14"/>
  <c r="B295" i="14" s="1"/>
  <c r="C294" i="14"/>
  <c r="C295" i="14" s="1"/>
  <c r="D294" i="14"/>
  <c r="A295" i="14"/>
  <c r="D295" i="14"/>
  <c r="A296" i="14"/>
  <c r="B296" i="14"/>
  <c r="C296" i="14"/>
  <c r="D296" i="14"/>
  <c r="A297" i="14"/>
  <c r="A298" i="14"/>
  <c r="A299" i="14"/>
  <c r="A300" i="14"/>
  <c r="A301" i="14"/>
  <c r="A302" i="14"/>
  <c r="A303" i="14"/>
  <c r="B304" i="14"/>
  <c r="C304" i="14"/>
  <c r="D304" i="14"/>
  <c r="E304" i="14"/>
  <c r="A305" i="14"/>
  <c r="A306" i="14"/>
  <c r="E306" i="14"/>
  <c r="A307" i="14"/>
  <c r="E307" i="14"/>
  <c r="A308" i="14"/>
  <c r="E308" i="14"/>
  <c r="A309" i="14"/>
  <c r="A310" i="14"/>
  <c r="E310" i="14"/>
  <c r="A311" i="14"/>
  <c r="E311" i="14"/>
  <c r="A312" i="14"/>
  <c r="E312" i="14"/>
  <c r="A313" i="14"/>
  <c r="E313" i="14"/>
  <c r="A314" i="14"/>
  <c r="A315" i="14"/>
  <c r="E315" i="14"/>
  <c r="A316" i="14"/>
  <c r="E316" i="14"/>
  <c r="A317" i="14"/>
  <c r="E317" i="14"/>
  <c r="A318" i="14"/>
  <c r="E318" i="14"/>
  <c r="A319" i="14"/>
  <c r="B320" i="14"/>
  <c r="C320" i="14"/>
  <c r="D320" i="14"/>
  <c r="E320" i="14"/>
  <c r="A321" i="14"/>
  <c r="A322" i="14"/>
  <c r="E322" i="14"/>
  <c r="A323" i="14"/>
  <c r="E323" i="14"/>
  <c r="A324" i="14"/>
  <c r="E324" i="14"/>
  <c r="A325" i="14"/>
  <c r="A326" i="14"/>
  <c r="E326" i="14"/>
  <c r="A327" i="14"/>
  <c r="E327" i="14"/>
  <c r="A328" i="14"/>
  <c r="E328" i="14"/>
  <c r="A329" i="14"/>
  <c r="E329" i="14"/>
  <c r="A330" i="14"/>
  <c r="A331" i="14"/>
  <c r="E331" i="14"/>
  <c r="A332" i="14"/>
  <c r="E332" i="14"/>
  <c r="A333" i="14"/>
  <c r="E333" i="14"/>
  <c r="A334" i="14"/>
  <c r="E334" i="14"/>
  <c r="A1" i="15"/>
  <c r="A2" i="15"/>
  <c r="A3" i="15"/>
  <c r="D5" i="16"/>
  <c r="G5" i="16"/>
  <c r="B1" i="17"/>
  <c r="D1" i="17"/>
  <c r="F1" i="17"/>
  <c r="H1" i="17"/>
  <c r="J1" i="17"/>
  <c r="L1" i="17"/>
  <c r="N1" i="17"/>
  <c r="P1" i="17"/>
  <c r="R1" i="17"/>
  <c r="T1" i="17"/>
  <c r="V1" i="17"/>
  <c r="X1" i="17"/>
  <c r="Z1" i="17"/>
  <c r="AB1" i="17"/>
  <c r="AD1" i="17"/>
  <c r="AF1" i="17"/>
  <c r="AH1" i="17"/>
  <c r="AJ1" i="17"/>
  <c r="AL1" i="17"/>
  <c r="AN1" i="17"/>
  <c r="AP1" i="17"/>
  <c r="AR1" i="17"/>
  <c r="AT1" i="17"/>
  <c r="AV1" i="17"/>
  <c r="AX1" i="17"/>
  <c r="AZ1" i="17"/>
  <c r="BB1" i="17"/>
  <c r="BD1" i="17"/>
  <c r="BF1" i="17"/>
  <c r="BH1" i="17"/>
  <c r="BJ1" i="17"/>
  <c r="BL1" i="17"/>
  <c r="B2" i="17"/>
  <c r="D2" i="17"/>
  <c r="F2" i="17"/>
  <c r="H2" i="17"/>
  <c r="J2" i="17"/>
  <c r="L2" i="17"/>
  <c r="N2" i="17"/>
  <c r="P2" i="17"/>
  <c r="R2" i="17"/>
  <c r="T2" i="17"/>
  <c r="V2" i="17"/>
  <c r="X2" i="17"/>
  <c r="Z2" i="17"/>
  <c r="AB2" i="17"/>
  <c r="AD2" i="17"/>
  <c r="AF2" i="17"/>
  <c r="AH2" i="17"/>
  <c r="AJ2" i="17"/>
  <c r="AL2" i="17"/>
  <c r="AN2" i="17"/>
  <c r="AP2" i="17"/>
  <c r="AR2" i="17"/>
  <c r="AT2" i="17"/>
  <c r="AV2" i="17"/>
  <c r="AX2" i="17"/>
  <c r="AZ2" i="17"/>
  <c r="BB2" i="17"/>
  <c r="BD2" i="17"/>
  <c r="BF2" i="17"/>
  <c r="BH2" i="17"/>
  <c r="BJ2" i="17"/>
  <c r="BL2" i="17"/>
  <c r="B3" i="17"/>
  <c r="D3" i="17"/>
  <c r="F3" i="17"/>
  <c r="H3" i="17"/>
  <c r="J3" i="17"/>
  <c r="L3" i="17"/>
  <c r="N3" i="17"/>
  <c r="P3" i="17"/>
  <c r="R3" i="17"/>
  <c r="T3" i="17"/>
  <c r="V3" i="17"/>
  <c r="X3" i="17"/>
  <c r="Z3" i="17"/>
  <c r="AB3" i="17"/>
  <c r="AD3" i="17"/>
  <c r="AF3" i="17"/>
  <c r="AH3" i="17"/>
  <c r="AJ3" i="17"/>
  <c r="AL3" i="17"/>
  <c r="AN3" i="17"/>
  <c r="AP3" i="17"/>
  <c r="AR3" i="17"/>
  <c r="AT3" i="17"/>
  <c r="AV3" i="17"/>
  <c r="AX3" i="17"/>
  <c r="AZ3" i="17"/>
  <c r="BB3" i="17"/>
  <c r="BD3" i="17"/>
  <c r="BF3" i="17"/>
  <c r="BH3" i="17"/>
  <c r="BJ3" i="17"/>
  <c r="BL3" i="17"/>
  <c r="B4" i="17"/>
  <c r="D4" i="17"/>
  <c r="F4" i="17"/>
  <c r="H4" i="17"/>
  <c r="J4" i="17"/>
  <c r="L4" i="17"/>
  <c r="N4" i="17"/>
  <c r="P4" i="17"/>
  <c r="R4" i="17"/>
  <c r="T4" i="17"/>
  <c r="V4" i="17"/>
  <c r="X4" i="17"/>
  <c r="Z4" i="17"/>
  <c r="AB4" i="17"/>
  <c r="AD4" i="17"/>
  <c r="AF4" i="17"/>
  <c r="AH4" i="17"/>
  <c r="AJ4" i="17"/>
  <c r="AL4" i="17"/>
  <c r="AN4" i="17"/>
  <c r="AP4" i="17"/>
  <c r="AR4" i="17"/>
  <c r="AT4" i="17"/>
  <c r="AV4" i="17"/>
  <c r="AX4" i="17"/>
  <c r="AZ4" i="17"/>
  <c r="BB4" i="17"/>
  <c r="BD4" i="17"/>
  <c r="BF4" i="17"/>
  <c r="BH4" i="17"/>
  <c r="BJ4" i="17"/>
  <c r="BL4" i="17"/>
  <c r="B5" i="17"/>
  <c r="D5" i="17"/>
  <c r="F5" i="17"/>
  <c r="H5" i="17"/>
  <c r="J5" i="17"/>
  <c r="L5" i="17"/>
  <c r="N5" i="17"/>
  <c r="P5" i="17"/>
  <c r="R5" i="17"/>
  <c r="T5" i="17"/>
  <c r="V5" i="17"/>
  <c r="X5" i="17"/>
  <c r="Z5" i="17"/>
  <c r="AB5" i="17"/>
  <c r="AD5" i="17"/>
  <c r="AF5" i="17"/>
  <c r="AH5" i="17"/>
  <c r="AJ5" i="17"/>
  <c r="AL5" i="17"/>
  <c r="AN5" i="17"/>
  <c r="AP5" i="17"/>
  <c r="AR5" i="17"/>
  <c r="AT5" i="17"/>
  <c r="AV5" i="17"/>
  <c r="AX5" i="17"/>
  <c r="AZ5" i="17"/>
  <c r="BB5" i="17"/>
  <c r="BD5" i="17"/>
  <c r="BF5" i="17"/>
  <c r="BH5" i="17"/>
  <c r="BJ5" i="17"/>
  <c r="BL5" i="17"/>
  <c r="B6" i="17"/>
  <c r="D6" i="17"/>
  <c r="F6" i="17"/>
  <c r="H6" i="17"/>
  <c r="J6" i="17"/>
  <c r="L6" i="17"/>
  <c r="N6" i="17"/>
  <c r="P6" i="17"/>
  <c r="R6" i="17"/>
  <c r="T6" i="17"/>
  <c r="V6" i="17"/>
  <c r="X6" i="17"/>
  <c r="Z6" i="17"/>
  <c r="AB6" i="17"/>
  <c r="AD6" i="17"/>
  <c r="AF6" i="17"/>
  <c r="AH6" i="17"/>
  <c r="AJ6" i="17"/>
  <c r="AL6" i="17"/>
  <c r="AN6" i="17"/>
  <c r="AP6" i="17"/>
  <c r="AR6" i="17"/>
  <c r="AT6" i="17"/>
  <c r="AV6" i="17"/>
  <c r="AX6" i="17"/>
  <c r="AZ6" i="17"/>
  <c r="BB6" i="17"/>
  <c r="BD6" i="17"/>
  <c r="BF6" i="17"/>
  <c r="BH6" i="17"/>
  <c r="BJ6" i="17"/>
  <c r="BL6" i="17"/>
  <c r="B7" i="17"/>
  <c r="D7" i="17"/>
  <c r="F7" i="17"/>
  <c r="H7" i="17"/>
  <c r="J7" i="17"/>
  <c r="L7" i="17"/>
  <c r="N7" i="17"/>
  <c r="B8" i="17"/>
  <c r="D8" i="17"/>
  <c r="F8" i="17"/>
  <c r="H8" i="17"/>
  <c r="J8" i="17"/>
  <c r="L8" i="17"/>
  <c r="N8" i="17"/>
  <c r="P8" i="17"/>
  <c r="R8" i="17"/>
  <c r="T8" i="17"/>
  <c r="V8" i="17"/>
  <c r="X8" i="17"/>
  <c r="Z8" i="17"/>
  <c r="AB8" i="17"/>
  <c r="AD8" i="17"/>
  <c r="AH8" i="17"/>
  <c r="B9" i="17"/>
  <c r="D9" i="17"/>
  <c r="F9" i="17"/>
  <c r="J9" i="17"/>
  <c r="L9" i="17"/>
  <c r="N9" i="17"/>
  <c r="P9" i="17"/>
  <c r="R9" i="17"/>
  <c r="T9" i="17"/>
  <c r="V9" i="17"/>
  <c r="X9" i="17"/>
  <c r="Z9" i="17"/>
  <c r="AB9" i="17"/>
  <c r="AD9" i="17"/>
  <c r="AH9" i="17"/>
  <c r="AJ9" i="17"/>
  <c r="AL9" i="17"/>
  <c r="AP9" i="17"/>
  <c r="AR9" i="17"/>
  <c r="AT9" i="17"/>
  <c r="AV9" i="17"/>
  <c r="AX9" i="17"/>
  <c r="AZ9" i="17"/>
  <c r="BB9" i="17"/>
  <c r="BF9" i="17"/>
  <c r="BH9" i="17"/>
  <c r="BL9" i="17"/>
  <c r="B10" i="17"/>
  <c r="D10" i="17"/>
  <c r="J10" i="17"/>
  <c r="L10" i="17"/>
  <c r="P10" i="17"/>
  <c r="R10" i="17"/>
  <c r="T10" i="17"/>
  <c r="V10" i="17"/>
  <c r="Z10" i="17"/>
  <c r="AB10" i="17"/>
  <c r="AD10" i="17"/>
  <c r="AH10" i="17"/>
  <c r="AL10" i="17"/>
  <c r="AN10" i="17"/>
  <c r="AP10" i="17"/>
  <c r="AR10" i="17"/>
  <c r="AT10" i="17"/>
  <c r="BJ10" i="17"/>
  <c r="BL10" i="17"/>
  <c r="D11" i="17"/>
  <c r="F11" i="17"/>
  <c r="H11" i="17"/>
  <c r="J11" i="17"/>
  <c r="N11" i="17"/>
  <c r="P11" i="17"/>
  <c r="R11" i="17"/>
  <c r="T11" i="17"/>
  <c r="V11" i="17"/>
  <c r="X11" i="17"/>
  <c r="Z11" i="17"/>
  <c r="AB11" i="17"/>
  <c r="AD11" i="17"/>
  <c r="AF11" i="17"/>
  <c r="AH11" i="17"/>
  <c r="BD11" i="17"/>
  <c r="V12" i="17"/>
  <c r="AV12" i="17"/>
  <c r="AX12" i="17"/>
  <c r="AZ12" i="17"/>
  <c r="BF12" i="17"/>
  <c r="BH12" i="17"/>
  <c r="BL12" i="17"/>
  <c r="B13" i="17"/>
  <c r="D13" i="17"/>
  <c r="H13" i="17"/>
  <c r="N13" i="17"/>
  <c r="P13" i="17"/>
  <c r="X13" i="17"/>
  <c r="Z13" i="17"/>
  <c r="AD13" i="17"/>
  <c r="AF13" i="17"/>
  <c r="AH13" i="17"/>
  <c r="AJ13" i="17"/>
  <c r="AP13" i="17"/>
  <c r="AV13" i="17"/>
  <c r="BD13" i="17"/>
  <c r="BL13" i="17"/>
  <c r="B14" i="17"/>
  <c r="P14" i="17"/>
  <c r="R14" i="17"/>
  <c r="X14" i="17"/>
  <c r="AB14" i="17"/>
  <c r="AD14" i="17"/>
  <c r="AF14" i="17"/>
  <c r="AH14" i="17"/>
  <c r="AJ14" i="17"/>
  <c r="AL14" i="17"/>
  <c r="AN14" i="17"/>
  <c r="AP14" i="17"/>
  <c r="AT14" i="17"/>
  <c r="AV14" i="17"/>
  <c r="AX14" i="17"/>
  <c r="AZ14" i="17"/>
  <c r="BB14" i="17"/>
  <c r="BD14" i="17"/>
  <c r="C177" i="3" l="1"/>
  <c r="B241" i="14"/>
  <c r="B65" i="11"/>
  <c r="D82" i="4"/>
  <c r="B114" i="2"/>
  <c r="C103" i="3"/>
  <c r="B53" i="12"/>
  <c r="B292" i="14"/>
  <c r="D123" i="14"/>
  <c r="E22" i="13" s="1"/>
  <c r="E64" i="11"/>
  <c r="E63" i="11"/>
  <c r="E65" i="11" s="1"/>
  <c r="E54" i="11"/>
  <c r="E67" i="4"/>
  <c r="B82" i="4"/>
  <c r="E113" i="2"/>
  <c r="E112" i="2"/>
  <c r="E39" i="2"/>
  <c r="E70" i="11"/>
  <c r="E176" i="3"/>
  <c r="E177" i="3" s="1"/>
  <c r="D177" i="3"/>
  <c r="E99" i="3"/>
  <c r="D100" i="3"/>
  <c r="C68" i="4"/>
  <c r="C39" i="11"/>
  <c r="D39" i="11" s="1"/>
  <c r="BB13" i="17" s="1"/>
  <c r="B255" i="14"/>
  <c r="B47" i="14"/>
  <c r="B7" i="6"/>
  <c r="B62" i="4"/>
  <c r="B91" i="11"/>
  <c r="E83" i="2"/>
  <c r="E76" i="2"/>
  <c r="D40" i="2"/>
  <c r="B82" i="11"/>
  <c r="B92" i="11" s="1"/>
  <c r="C232" i="14"/>
  <c r="B55" i="14"/>
  <c r="B56" i="14" s="1"/>
  <c r="E72" i="11"/>
  <c r="AN13" i="17"/>
  <c r="D235" i="14"/>
  <c r="B232" i="14"/>
  <c r="E122" i="14"/>
  <c r="B141" i="3"/>
  <c r="E104" i="3"/>
  <c r="E65" i="2"/>
  <c r="E66" i="2" s="1"/>
  <c r="B250" i="14"/>
  <c r="B251" i="14" s="1"/>
  <c r="BJ9" i="17"/>
  <c r="D38" i="11"/>
  <c r="D40" i="11"/>
  <c r="BH13" i="17" s="1"/>
  <c r="BF13" i="17"/>
  <c r="E67" i="11"/>
  <c r="E68" i="11" s="1"/>
  <c r="C53" i="11"/>
  <c r="E51" i="11"/>
  <c r="B24" i="11"/>
  <c r="F12" i="11"/>
  <c r="F10" i="11"/>
  <c r="C93" i="5"/>
  <c r="C161" i="14" s="1"/>
  <c r="E296" i="3"/>
  <c r="B294" i="3"/>
  <c r="B57" i="3" s="1"/>
  <c r="B58" i="3" s="1"/>
  <c r="B291" i="3"/>
  <c r="B215" i="3" s="1"/>
  <c r="B220" i="3"/>
  <c r="D114" i="14"/>
  <c r="D58" i="11"/>
  <c r="E53" i="11"/>
  <c r="Z14" i="17"/>
  <c r="J14" i="17"/>
  <c r="B256" i="14"/>
  <c r="B257" i="14" s="1"/>
  <c r="B246" i="14"/>
  <c r="C234" i="14"/>
  <c r="C233" i="3" s="1"/>
  <c r="C72" i="3" s="1"/>
  <c r="C22" i="13"/>
  <c r="AR14" i="17"/>
  <c r="T14" i="17"/>
  <c r="D14" i="17"/>
  <c r="AZ13" i="17"/>
  <c r="AR13" i="17"/>
  <c r="B11" i="17"/>
  <c r="N10" i="17"/>
  <c r="E294" i="14"/>
  <c r="D239" i="14"/>
  <c r="E239" i="14" s="1"/>
  <c r="D230" i="14"/>
  <c r="D229" i="3" s="1"/>
  <c r="B220" i="14"/>
  <c r="E119" i="14"/>
  <c r="B117" i="14"/>
  <c r="B14" i="13" s="1"/>
  <c r="C55" i="14"/>
  <c r="C56" i="14" s="1"/>
  <c r="E113" i="14"/>
  <c r="B51" i="14"/>
  <c r="D48" i="11"/>
  <c r="D49" i="11" s="1"/>
  <c r="D59" i="11" s="1"/>
  <c r="D47" i="11"/>
  <c r="E47" i="11" s="1"/>
  <c r="B7" i="8"/>
  <c r="B7" i="7"/>
  <c r="C67" i="5"/>
  <c r="C135" i="14" s="1"/>
  <c r="C61" i="5"/>
  <c r="C129" i="14" s="1"/>
  <c r="B7" i="4"/>
  <c r="D209" i="3"/>
  <c r="B181" i="3"/>
  <c r="E181" i="3" s="1"/>
  <c r="B179" i="3"/>
  <c r="E38" i="2"/>
  <c r="E40" i="2" s="1"/>
  <c r="V14" i="17"/>
  <c r="F14" i="17"/>
  <c r="BJ13" i="17"/>
  <c r="AT13" i="17"/>
  <c r="AL13" i="17"/>
  <c r="L11" i="17"/>
  <c r="AV10" i="17"/>
  <c r="X10" i="17"/>
  <c r="H10" i="17"/>
  <c r="BD9" i="17"/>
  <c r="AN9" i="17"/>
  <c r="E296" i="14"/>
  <c r="E295" i="14"/>
  <c r="B247" i="14"/>
  <c r="B248" i="14" s="1"/>
  <c r="B237" i="14"/>
  <c r="E237" i="14" s="1"/>
  <c r="E234" i="14"/>
  <c r="E235" i="14" s="1"/>
  <c r="E118" i="14"/>
  <c r="C117" i="14"/>
  <c r="B18" i="13" s="1"/>
  <c r="D116" i="14"/>
  <c r="C52" i="14"/>
  <c r="C51" i="14"/>
  <c r="E56" i="11"/>
  <c r="C86" i="5"/>
  <c r="C154" i="14" s="1"/>
  <c r="C7" i="8"/>
  <c r="C7" i="7"/>
  <c r="B7" i="5"/>
  <c r="B86" i="5" s="1"/>
  <c r="B58" i="4"/>
  <c r="E102" i="3"/>
  <c r="E103" i="3" s="1"/>
  <c r="C40" i="2"/>
  <c r="B13" i="8"/>
  <c r="C234" i="3"/>
  <c r="B230" i="3"/>
  <c r="B70" i="5"/>
  <c r="B138" i="14" s="1"/>
  <c r="C68" i="3"/>
  <c r="C231" i="3"/>
  <c r="B76" i="4"/>
  <c r="B32" i="7"/>
  <c r="E121" i="14"/>
  <c r="B75" i="4"/>
  <c r="B31" i="7"/>
  <c r="D22" i="13"/>
  <c r="D73" i="4"/>
  <c r="D14" i="7"/>
  <c r="D58" i="14" s="1"/>
  <c r="B14" i="6"/>
  <c r="P12" i="17" s="1"/>
  <c r="B21" i="14"/>
  <c r="A13" i="13" s="1"/>
  <c r="E240" i="14"/>
  <c r="E236" i="14"/>
  <c r="D220" i="14"/>
  <c r="C114" i="14"/>
  <c r="B59" i="11"/>
  <c r="B74" i="3"/>
  <c r="B89" i="3" s="1"/>
  <c r="E235" i="3"/>
  <c r="D234" i="3"/>
  <c r="D72" i="3"/>
  <c r="D231" i="3"/>
  <c r="D68" i="3"/>
  <c r="C76" i="4"/>
  <c r="C32" i="7"/>
  <c r="C61" i="14" s="1"/>
  <c r="C75" i="4"/>
  <c r="C31" i="7"/>
  <c r="C123" i="14"/>
  <c r="E18" i="13" s="1"/>
  <c r="C235" i="14"/>
  <c r="C13" i="8" s="1"/>
  <c r="B123" i="14"/>
  <c r="E114" i="14"/>
  <c r="E112" i="14"/>
  <c r="B52" i="14"/>
  <c r="E52" i="14" s="1"/>
  <c r="C21" i="14"/>
  <c r="A17" i="13" s="1"/>
  <c r="D75" i="4"/>
  <c r="D31" i="7"/>
  <c r="B73" i="4"/>
  <c r="B14" i="7"/>
  <c r="D14" i="13"/>
  <c r="C18" i="13"/>
  <c r="C57" i="14"/>
  <c r="B38" i="14"/>
  <c r="B48" i="14" s="1"/>
  <c r="B66" i="14"/>
  <c r="B57" i="14"/>
  <c r="D21" i="14"/>
  <c r="A21" i="13" s="1"/>
  <c r="B75" i="11"/>
  <c r="B233" i="3"/>
  <c r="B229" i="3"/>
  <c r="B64" i="5"/>
  <c r="B132" i="14" s="1"/>
  <c r="D292" i="14"/>
  <c r="E292" i="14" s="1"/>
  <c r="D232" i="14"/>
  <c r="E231" i="14"/>
  <c r="C220" i="14"/>
  <c r="E220" i="14" s="1"/>
  <c r="D51" i="14"/>
  <c r="D53" i="14" s="1"/>
  <c r="C75" i="11"/>
  <c r="C51" i="4"/>
  <c r="B56" i="4"/>
  <c r="E30" i="4"/>
  <c r="C32" i="4"/>
  <c r="C111" i="4"/>
  <c r="D18" i="13"/>
  <c r="D74" i="11"/>
  <c r="E73" i="11"/>
  <c r="E74" i="11" s="1"/>
  <c r="C58" i="11"/>
  <c r="C59" i="11" s="1"/>
  <c r="B10" i="8"/>
  <c r="B190" i="14" s="1"/>
  <c r="C14" i="7"/>
  <c r="C58" i="14" s="1"/>
  <c r="C14" i="6"/>
  <c r="R12" i="17" s="1"/>
  <c r="B53" i="4"/>
  <c r="B81" i="4"/>
  <c r="D32" i="4"/>
  <c r="D111" i="4"/>
  <c r="D113" i="4" s="1"/>
  <c r="B245" i="3"/>
  <c r="E57" i="11"/>
  <c r="C10" i="8"/>
  <c r="C190" i="14" s="1"/>
  <c r="E66" i="4"/>
  <c r="E68" i="4" s="1"/>
  <c r="B68" i="4"/>
  <c r="B88" i="4"/>
  <c r="D10" i="8"/>
  <c r="D190" i="14" s="1"/>
  <c r="E100" i="3"/>
  <c r="B300" i="3"/>
  <c r="B299" i="3"/>
  <c r="B297" i="3"/>
  <c r="E31" i="4"/>
  <c r="B112" i="4"/>
  <c r="D65" i="11"/>
  <c r="D32" i="7"/>
  <c r="D61" i="14" s="1"/>
  <c r="B250" i="3"/>
  <c r="B214" i="3"/>
  <c r="B135" i="3"/>
  <c r="B54" i="3"/>
  <c r="B40" i="2"/>
  <c r="B292" i="3"/>
  <c r="B132" i="3"/>
  <c r="E114" i="2" l="1"/>
  <c r="B295" i="3"/>
  <c r="E58" i="11"/>
  <c r="B70" i="14"/>
  <c r="E52" i="11"/>
  <c r="E59" i="11" s="1"/>
  <c r="E48" i="11"/>
  <c r="E49" i="11" s="1"/>
  <c r="C53" i="14"/>
  <c r="B99" i="5"/>
  <c r="B167" i="14" s="1"/>
  <c r="B74" i="5"/>
  <c r="B142" i="14" s="1"/>
  <c r="B93" i="5"/>
  <c r="B161" i="14" s="1"/>
  <c r="B61" i="5"/>
  <c r="B129" i="14" s="1"/>
  <c r="B67" i="5"/>
  <c r="B135" i="14" s="1"/>
  <c r="B180" i="3"/>
  <c r="E179" i="3"/>
  <c r="E180" i="3" s="1"/>
  <c r="D55" i="14"/>
  <c r="E116" i="14"/>
  <c r="D117" i="14"/>
  <c r="B22" i="13" s="1"/>
  <c r="B124" i="14"/>
  <c r="B218" i="3"/>
  <c r="B248" i="3" s="1"/>
  <c r="D75" i="11"/>
  <c r="B77" i="5"/>
  <c r="B145" i="14" s="1"/>
  <c r="D241" i="14"/>
  <c r="B242" i="14"/>
  <c r="D7" i="6"/>
  <c r="D7" i="8"/>
  <c r="D7" i="5"/>
  <c r="D7" i="4"/>
  <c r="D7" i="7"/>
  <c r="A22" i="13"/>
  <c r="E241" i="14"/>
  <c r="E230" i="14"/>
  <c r="E232" i="14" s="1"/>
  <c r="B216" i="3"/>
  <c r="B244" i="3"/>
  <c r="B301" i="3"/>
  <c r="B223" i="3"/>
  <c r="B62" i="3"/>
  <c r="B83" i="4"/>
  <c r="C81" i="4"/>
  <c r="D13" i="8"/>
  <c r="D242" i="14"/>
  <c r="E57" i="14"/>
  <c r="B72" i="14"/>
  <c r="D33" i="7"/>
  <c r="D60" i="14"/>
  <c r="D62" i="14" s="1"/>
  <c r="D73" i="3"/>
  <c r="D149" i="3"/>
  <c r="D150" i="3" s="1"/>
  <c r="B258" i="14"/>
  <c r="B77" i="4"/>
  <c r="E75" i="4"/>
  <c r="B90" i="4"/>
  <c r="B142" i="3"/>
  <c r="E75" i="11"/>
  <c r="C242" i="14"/>
  <c r="B221" i="3"/>
  <c r="B60" i="3"/>
  <c r="B219" i="3"/>
  <c r="B224" i="3"/>
  <c r="B63" i="3"/>
  <c r="B154" i="14"/>
  <c r="D51" i="4"/>
  <c r="C113" i="4"/>
  <c r="E111" i="4"/>
  <c r="B68" i="3"/>
  <c r="E229" i="3"/>
  <c r="B231" i="3"/>
  <c r="B214" i="14"/>
  <c r="E73" i="4"/>
  <c r="E123" i="14"/>
  <c r="E14" i="13"/>
  <c r="E74" i="3"/>
  <c r="B151" i="3"/>
  <c r="E31" i="7"/>
  <c r="B33" i="7"/>
  <c r="B35" i="7"/>
  <c r="B60" i="14"/>
  <c r="E76" i="4"/>
  <c r="B91" i="4"/>
  <c r="B69" i="3"/>
  <c r="E230" i="3"/>
  <c r="B215" i="14"/>
  <c r="B302" i="3"/>
  <c r="B55" i="3"/>
  <c r="B67" i="14"/>
  <c r="B265" i="3"/>
  <c r="B25" i="14"/>
  <c r="B119" i="3"/>
  <c r="E14" i="7"/>
  <c r="B58" i="14"/>
  <c r="E58" i="14" s="1"/>
  <c r="C77" i="4"/>
  <c r="A18" i="13"/>
  <c r="C124" i="14"/>
  <c r="B71" i="14"/>
  <c r="B36" i="7"/>
  <c r="E32" i="7"/>
  <c r="B61" i="14"/>
  <c r="E61" i="14" s="1"/>
  <c r="C149" i="3"/>
  <c r="C150" i="3" s="1"/>
  <c r="C73" i="3"/>
  <c r="C52" i="4"/>
  <c r="E112" i="4"/>
  <c r="B72" i="3"/>
  <c r="E233" i="3"/>
  <c r="E234" i="3" s="1"/>
  <c r="B234" i="3"/>
  <c r="B218" i="14"/>
  <c r="D77" i="4"/>
  <c r="C33" i="7"/>
  <c r="C60" i="14"/>
  <c r="C62" i="14" s="1"/>
  <c r="C63" i="14" s="1"/>
  <c r="D70" i="3"/>
  <c r="D145" i="3"/>
  <c r="D147" i="3" s="1"/>
  <c r="C145" i="3"/>
  <c r="C147" i="3" s="1"/>
  <c r="C70" i="3"/>
  <c r="B63" i="4"/>
  <c r="B15" i="7"/>
  <c r="E32" i="4"/>
  <c r="B113" i="4"/>
  <c r="E51" i="14"/>
  <c r="E53" i="14" s="1"/>
  <c r="B53" i="14"/>
  <c r="E13" i="8" l="1"/>
  <c r="E242" i="14"/>
  <c r="D56" i="14"/>
  <c r="D63" i="14" s="1"/>
  <c r="E55" i="14"/>
  <c r="E56" i="14" s="1"/>
  <c r="E231" i="3"/>
  <c r="E117" i="14"/>
  <c r="D61" i="5"/>
  <c r="D129" i="14" s="1"/>
  <c r="D67" i="5"/>
  <c r="D135" i="14" s="1"/>
  <c r="D93" i="5"/>
  <c r="D161" i="14" s="1"/>
  <c r="D99" i="5"/>
  <c r="D167" i="14" s="1"/>
  <c r="D74" i="5"/>
  <c r="D142" i="14" s="1"/>
  <c r="D86" i="5"/>
  <c r="D154" i="14" s="1"/>
  <c r="D124" i="14"/>
  <c r="E124" i="14" s="1"/>
  <c r="B72" i="4"/>
  <c r="C13" i="13"/>
  <c r="B26" i="14"/>
  <c r="D13" i="13" s="1"/>
  <c r="B18" i="6"/>
  <c r="B29" i="14"/>
  <c r="B23" i="14"/>
  <c r="B28" i="14"/>
  <c r="B73" i="3"/>
  <c r="B149" i="3"/>
  <c r="E72" i="3"/>
  <c r="E73" i="3" s="1"/>
  <c r="B87" i="3"/>
  <c r="E52" i="4"/>
  <c r="C82" i="4"/>
  <c r="E82" i="4" s="1"/>
  <c r="B146" i="3"/>
  <c r="E69" i="3"/>
  <c r="E60" i="14"/>
  <c r="E62" i="14" s="1"/>
  <c r="B62" i="14"/>
  <c r="B63" i="14" s="1"/>
  <c r="B87" i="14"/>
  <c r="B102" i="14" s="1"/>
  <c r="E113" i="4"/>
  <c r="C53" i="4"/>
  <c r="B84" i="3"/>
  <c r="B73" i="14"/>
  <c r="B219" i="14"/>
  <c r="B204" i="14"/>
  <c r="B216" i="14"/>
  <c r="B145" i="3"/>
  <c r="E68" i="3"/>
  <c r="E70" i="3" s="1"/>
  <c r="B70" i="3"/>
  <c r="B83" i="3"/>
  <c r="B249" i="3"/>
  <c r="E33" i="7"/>
  <c r="E77" i="4"/>
  <c r="B68" i="14"/>
  <c r="B76" i="14"/>
  <c r="C59" i="3"/>
  <c r="B35" i="12"/>
  <c r="D81" i="4"/>
  <c r="D53" i="4"/>
  <c r="B92" i="4"/>
  <c r="B225" i="3"/>
  <c r="B226" i="3" s="1"/>
  <c r="E51" i="4"/>
  <c r="B37" i="7"/>
  <c r="B75" i="14"/>
  <c r="E151" i="3"/>
  <c r="B166" i="3"/>
  <c r="B64" i="3"/>
  <c r="B65" i="3" s="1"/>
  <c r="B246" i="3"/>
  <c r="E63" i="14" l="1"/>
  <c r="E53" i="4"/>
  <c r="C83" i="4"/>
  <c r="C42" i="14"/>
  <c r="D83" i="4"/>
  <c r="E81" i="4"/>
  <c r="E83" i="4" s="1"/>
  <c r="B85" i="3"/>
  <c r="B113" i="3"/>
  <c r="E145" i="3"/>
  <c r="B147" i="3"/>
  <c r="B160" i="3"/>
  <c r="E146" i="3"/>
  <c r="B161" i="3"/>
  <c r="B150" i="3"/>
  <c r="E149" i="3"/>
  <c r="E150" i="3" s="1"/>
  <c r="B164" i="3"/>
  <c r="B18" i="4"/>
  <c r="B87" i="4"/>
  <c r="C89" i="3"/>
  <c r="B17" i="6"/>
  <c r="AB12" i="17" s="1"/>
  <c r="B24" i="14"/>
  <c r="B13" i="13" s="1"/>
  <c r="B70" i="4"/>
  <c r="B196" i="3"/>
  <c r="B114" i="3"/>
  <c r="B30" i="14"/>
  <c r="E13" i="13" s="1"/>
  <c r="B77" i="14"/>
  <c r="B78" i="14" s="1"/>
  <c r="B117" i="3"/>
  <c r="B88" i="3"/>
  <c r="B96" i="2"/>
  <c r="AH12" i="17"/>
  <c r="B19" i="6"/>
  <c r="B97" i="2"/>
  <c r="B21" i="6" l="1"/>
  <c r="AX10" i="17"/>
  <c r="B238" i="3"/>
  <c r="C136" i="3"/>
  <c r="C119" i="3"/>
  <c r="C72" i="14"/>
  <c r="B68" i="5"/>
  <c r="B100" i="5"/>
  <c r="B62" i="5"/>
  <c r="B75" i="5"/>
  <c r="B87" i="5"/>
  <c r="B94" i="5"/>
  <c r="B22" i="6"/>
  <c r="BD10" i="17"/>
  <c r="B239" i="3"/>
  <c r="B118" i="3"/>
  <c r="B30" i="12" s="1"/>
  <c r="B102" i="4"/>
  <c r="B162" i="3"/>
  <c r="B190" i="3"/>
  <c r="B115" i="3"/>
  <c r="A15" i="13"/>
  <c r="B31" i="14" s="1"/>
  <c r="AN12" i="17"/>
  <c r="B236" i="3"/>
  <c r="B71" i="4"/>
  <c r="B78" i="4" s="1"/>
  <c r="B85" i="4"/>
  <c r="B194" i="3"/>
  <c r="B165" i="3"/>
  <c r="B266" i="14"/>
  <c r="B191" i="3"/>
  <c r="E147" i="3"/>
  <c r="B18" i="5" l="1"/>
  <c r="B143" i="14"/>
  <c r="B75" i="3"/>
  <c r="B221" i="14"/>
  <c r="B251" i="3"/>
  <c r="B25" i="12"/>
  <c r="B78" i="3"/>
  <c r="B224" i="14"/>
  <c r="B254" i="3"/>
  <c r="B155" i="14"/>
  <c r="B136" i="14"/>
  <c r="D59" i="3"/>
  <c r="B36" i="12"/>
  <c r="C131" i="3"/>
  <c r="B86" i="4"/>
  <c r="B93" i="4" s="1"/>
  <c r="B192" i="3"/>
  <c r="C130" i="3"/>
  <c r="B162" i="14"/>
  <c r="B168" i="14"/>
  <c r="C87" i="14"/>
  <c r="C102" i="14" s="1"/>
  <c r="B77" i="3"/>
  <c r="B240" i="3"/>
  <c r="B241" i="3" s="1"/>
  <c r="B223" i="14"/>
  <c r="B253" i="3"/>
  <c r="C134" i="3"/>
  <c r="B195" i="3"/>
  <c r="B130" i="14"/>
  <c r="C166" i="3"/>
  <c r="B19" i="12" l="1"/>
  <c r="B191" i="14"/>
  <c r="B192" i="14" s="1"/>
  <c r="D42" i="14"/>
  <c r="B225" i="14"/>
  <c r="B226" i="14" s="1"/>
  <c r="B154" i="3"/>
  <c r="B79" i="3"/>
  <c r="B92" i="3"/>
  <c r="C132" i="3"/>
  <c r="C160" i="3"/>
  <c r="B155" i="3"/>
  <c r="B93" i="3"/>
  <c r="B152" i="3"/>
  <c r="B90" i="3"/>
  <c r="B80" i="3"/>
  <c r="C164" i="3"/>
  <c r="C135" i="3"/>
  <c r="C196" i="3"/>
  <c r="B255" i="3"/>
  <c r="B256" i="3" s="1"/>
  <c r="D89" i="3"/>
  <c r="E59" i="3"/>
  <c r="C161" i="3"/>
  <c r="B167" i="3" l="1"/>
  <c r="C162" i="3"/>
  <c r="C190" i="3"/>
  <c r="B170" i="3"/>
  <c r="B69" i="5"/>
  <c r="B63" i="5"/>
  <c r="B76" i="5"/>
  <c r="C191" i="3"/>
  <c r="D136" i="3"/>
  <c r="D119" i="3"/>
  <c r="E89" i="3"/>
  <c r="C165" i="3"/>
  <c r="C194" i="3"/>
  <c r="B94" i="3"/>
  <c r="B95" i="3" s="1"/>
  <c r="B169" i="3"/>
  <c r="B156" i="3"/>
  <c r="B157" i="3" s="1"/>
  <c r="D72" i="14"/>
  <c r="E42" i="14"/>
  <c r="B37" i="12" l="1"/>
  <c r="E119" i="3"/>
  <c r="D131" i="3"/>
  <c r="B131" i="14"/>
  <c r="B44" i="5"/>
  <c r="B28" i="5" s="1"/>
  <c r="C192" i="3"/>
  <c r="D130" i="3"/>
  <c r="D134" i="3"/>
  <c r="C195" i="3"/>
  <c r="B144" i="14"/>
  <c r="B47" i="5"/>
  <c r="B31" i="5" s="1"/>
  <c r="D87" i="14"/>
  <c r="E87" i="14" s="1"/>
  <c r="E72" i="14"/>
  <c r="D166" i="3"/>
  <c r="E136" i="3"/>
  <c r="B171" i="3"/>
  <c r="B172" i="3" s="1"/>
  <c r="B137" i="14"/>
  <c r="B45" i="5"/>
  <c r="B29" i="5" s="1"/>
  <c r="D102" i="14" l="1"/>
  <c r="E102" i="14" s="1"/>
  <c r="B259" i="3"/>
  <c r="B81" i="14"/>
  <c r="AL11" i="17"/>
  <c r="B260" i="3"/>
  <c r="B82" i="14"/>
  <c r="AR11" i="17"/>
  <c r="D164" i="3"/>
  <c r="D135" i="3"/>
  <c r="E134" i="3"/>
  <c r="E135" i="3" s="1"/>
  <c r="D196" i="3"/>
  <c r="E166" i="3"/>
  <c r="D161" i="3"/>
  <c r="E131" i="3"/>
  <c r="B263" i="3"/>
  <c r="B100" i="4"/>
  <c r="B85" i="14"/>
  <c r="AX11" i="17"/>
  <c r="D132" i="3"/>
  <c r="D160" i="3"/>
  <c r="E130" i="3"/>
  <c r="E132" i="3" l="1"/>
  <c r="B264" i="3"/>
  <c r="B81" i="9"/>
  <c r="B278" i="3"/>
  <c r="D194" i="3"/>
  <c r="D165" i="3"/>
  <c r="E164" i="3"/>
  <c r="E165" i="3" s="1"/>
  <c r="B275" i="3"/>
  <c r="B76" i="9"/>
  <c r="B261" i="3"/>
  <c r="B75" i="9"/>
  <c r="B274" i="3"/>
  <c r="D162" i="3"/>
  <c r="D190" i="3"/>
  <c r="E160" i="3"/>
  <c r="D191" i="3"/>
  <c r="E161" i="3"/>
  <c r="B101" i="4"/>
  <c r="B17" i="4"/>
  <c r="B17" i="5"/>
  <c r="B16" i="5"/>
  <c r="B34" i="4"/>
  <c r="B86" i="14"/>
  <c r="B100" i="14"/>
  <c r="B97" i="14"/>
  <c r="B83" i="14"/>
  <c r="B96" i="14"/>
  <c r="B18" i="3"/>
  <c r="E196" i="3"/>
  <c r="E162" i="3" l="1"/>
  <c r="B265" i="14"/>
  <c r="B77" i="9"/>
  <c r="B198" i="14"/>
  <c r="C291" i="3"/>
  <c r="C215" i="3" s="1"/>
  <c r="D195" i="3"/>
  <c r="B16" i="3"/>
  <c r="B17" i="3" s="1"/>
  <c r="E194" i="3"/>
  <c r="E195" i="3" s="1"/>
  <c r="C37" i="14"/>
  <c r="B13" i="3"/>
  <c r="E191" i="3"/>
  <c r="B276" i="3"/>
  <c r="C290" i="3"/>
  <c r="C214" i="3" s="1"/>
  <c r="B199" i="14"/>
  <c r="B98" i="14"/>
  <c r="C36" i="14"/>
  <c r="B82" i="9"/>
  <c r="B203" i="14"/>
  <c r="B202" i="14"/>
  <c r="B116" i="4"/>
  <c r="B35" i="4"/>
  <c r="B115" i="4"/>
  <c r="B101" i="14"/>
  <c r="C40" i="14"/>
  <c r="D192" i="3"/>
  <c r="B12" i="3"/>
  <c r="B14" i="3" s="1"/>
  <c r="E190" i="3"/>
  <c r="E192" i="3" s="1"/>
  <c r="B279" i="3"/>
  <c r="E30" i="12" s="1"/>
  <c r="C294" i="3"/>
  <c r="C70" i="5" l="1"/>
  <c r="C138" i="14" s="1"/>
  <c r="C216" i="3"/>
  <c r="C244" i="3"/>
  <c r="C295" i="3"/>
  <c r="C218" i="14"/>
  <c r="C57" i="3"/>
  <c r="C55" i="4"/>
  <c r="C292" i="3"/>
  <c r="C214" i="14"/>
  <c r="C53" i="3"/>
  <c r="C67" i="14"/>
  <c r="B200" i="14"/>
  <c r="C70" i="14"/>
  <c r="C41" i="14"/>
  <c r="C38" i="14"/>
  <c r="C66" i="14"/>
  <c r="C245" i="3"/>
  <c r="C77" i="5"/>
  <c r="C145" i="14" s="1"/>
  <c r="C64" i="5"/>
  <c r="C132" i="14" s="1"/>
  <c r="E25" i="12"/>
  <c r="C215" i="14"/>
  <c r="C54" i="3"/>
  <c r="C218" i="3"/>
  <c r="C219" i="14" l="1"/>
  <c r="C71" i="14"/>
  <c r="C87" i="3"/>
  <c r="C58" i="3"/>
  <c r="C246" i="3"/>
  <c r="B181" i="14"/>
  <c r="C216" i="14"/>
  <c r="C56" i="4"/>
  <c r="C248" i="3"/>
  <c r="C219" i="3"/>
  <c r="C84" i="3"/>
  <c r="C68" i="14"/>
  <c r="C55" i="3"/>
  <c r="C83" i="3"/>
  <c r="C114" i="3" l="1"/>
  <c r="C249" i="3"/>
  <c r="C85" i="3"/>
  <c r="C113" i="3"/>
  <c r="C88" i="3"/>
  <c r="C117" i="3"/>
  <c r="B31" i="6"/>
  <c r="B36" i="6"/>
  <c r="B103" i="5"/>
  <c r="B30" i="6"/>
  <c r="B40" i="6"/>
  <c r="B182" i="14" s="1"/>
  <c r="B45" i="6"/>
  <c r="B97" i="5"/>
  <c r="B44" i="6"/>
  <c r="B184" i="14" s="1"/>
  <c r="B90" i="5"/>
  <c r="B96" i="4"/>
  <c r="B97" i="4"/>
  <c r="B171" i="14" l="1"/>
  <c r="B52" i="5"/>
  <c r="B36" i="5" s="1"/>
  <c r="C115" i="3"/>
  <c r="B14" i="4"/>
  <c r="B98" i="4"/>
  <c r="B12" i="5"/>
  <c r="B165" i="14"/>
  <c r="B51" i="5"/>
  <c r="B35" i="5" s="1"/>
  <c r="B175" i="14"/>
  <c r="B158" i="14"/>
  <c r="B49" i="5"/>
  <c r="B33" i="5" s="1"/>
  <c r="B15" i="4"/>
  <c r="B13" i="5"/>
  <c r="B32" i="6"/>
  <c r="B176" i="14"/>
  <c r="B177" i="14"/>
  <c r="C87" i="5"/>
  <c r="C94" i="5"/>
  <c r="C68" i="5"/>
  <c r="C75" i="5"/>
  <c r="C100" i="5"/>
  <c r="C62" i="5"/>
  <c r="B46" i="6"/>
  <c r="B187" i="14" s="1"/>
  <c r="B186" i="14"/>
  <c r="B185" i="14"/>
  <c r="B37" i="6"/>
  <c r="B180" i="14"/>
  <c r="B179" i="14"/>
  <c r="C118" i="3"/>
  <c r="B31" i="12" s="1"/>
  <c r="C168" i="14" l="1"/>
  <c r="B266" i="3"/>
  <c r="B103" i="4"/>
  <c r="B16" i="7"/>
  <c r="BJ11" i="17"/>
  <c r="C130" i="14"/>
  <c r="C162" i="14"/>
  <c r="B262" i="14"/>
  <c r="B269" i="3"/>
  <c r="B106" i="4"/>
  <c r="B40" i="7"/>
  <c r="J12" i="17"/>
  <c r="B263" i="14"/>
  <c r="B268" i="3"/>
  <c r="B105" i="4"/>
  <c r="B39" i="7"/>
  <c r="D12" i="17"/>
  <c r="B26" i="12"/>
  <c r="C155" i="14"/>
  <c r="C136" i="14"/>
  <c r="C143" i="14"/>
  <c r="B14" i="5"/>
  <c r="B107" i="3" l="1"/>
  <c r="B41" i="7"/>
  <c r="B90" i="14"/>
  <c r="B43" i="7"/>
  <c r="B208" i="14"/>
  <c r="B284" i="3"/>
  <c r="B105" i="3"/>
  <c r="B88" i="14"/>
  <c r="B17" i="7"/>
  <c r="B22" i="4"/>
  <c r="B22" i="5"/>
  <c r="B40" i="4"/>
  <c r="B270" i="3"/>
  <c r="B207" i="14"/>
  <c r="B283" i="3"/>
  <c r="B108" i="3"/>
  <c r="B91" i="14"/>
  <c r="B44" i="7"/>
  <c r="B205" i="14"/>
  <c r="B281" i="3"/>
  <c r="B271" i="3"/>
  <c r="B21" i="4"/>
  <c r="B21" i="5"/>
  <c r="B107" i="4"/>
  <c r="B108" i="4" s="1"/>
  <c r="B36" i="4" s="1"/>
  <c r="C247" i="14" s="1"/>
  <c r="B39" i="4"/>
  <c r="B19" i="4"/>
  <c r="B19" i="5"/>
  <c r="B37" i="4"/>
  <c r="B285" i="3" l="1"/>
  <c r="E45" i="12" s="1"/>
  <c r="C299" i="3"/>
  <c r="B270" i="14"/>
  <c r="C256" i="14" s="1"/>
  <c r="B182" i="3"/>
  <c r="B16" i="8"/>
  <c r="B120" i="3"/>
  <c r="B45" i="7"/>
  <c r="C27" i="7"/>
  <c r="B105" i="14"/>
  <c r="B109" i="3"/>
  <c r="B110" i="3" s="1"/>
  <c r="B184" i="3"/>
  <c r="B19" i="8"/>
  <c r="B122" i="3"/>
  <c r="C28" i="7"/>
  <c r="B106" i="14"/>
  <c r="B118" i="4"/>
  <c r="B19" i="7"/>
  <c r="B41" i="4"/>
  <c r="B42" i="4" s="1"/>
  <c r="B120" i="4"/>
  <c r="B48" i="7"/>
  <c r="B269" i="14"/>
  <c r="C255" i="14" s="1"/>
  <c r="B185" i="3"/>
  <c r="B123" i="3"/>
  <c r="B117" i="4"/>
  <c r="C252" i="14"/>
  <c r="C250" i="14"/>
  <c r="B267" i="14"/>
  <c r="C253" i="14" s="1"/>
  <c r="B23" i="5"/>
  <c r="B24" i="5" s="1"/>
  <c r="E40" i="12"/>
  <c r="C297" i="3"/>
  <c r="C221" i="3" s="1"/>
  <c r="B209" i="14"/>
  <c r="B210" i="14" s="1"/>
  <c r="B121" i="4"/>
  <c r="B49" i="7"/>
  <c r="C13" i="7"/>
  <c r="B103" i="14"/>
  <c r="C300" i="3"/>
  <c r="C224" i="3" s="1"/>
  <c r="B92" i="14"/>
  <c r="B93" i="14" s="1"/>
  <c r="C246" i="14"/>
  <c r="C257" i="14" l="1"/>
  <c r="B193" i="14"/>
  <c r="B22" i="8" s="1"/>
  <c r="B27" i="9"/>
  <c r="B280" i="3"/>
  <c r="C61" i="4"/>
  <c r="C57" i="4"/>
  <c r="C63" i="3"/>
  <c r="C58" i="4"/>
  <c r="C29" i="7"/>
  <c r="C35" i="7"/>
  <c r="C45" i="14"/>
  <c r="B197" i="3"/>
  <c r="B300" i="14"/>
  <c r="C251" i="14"/>
  <c r="B200" i="3"/>
  <c r="C60" i="4"/>
  <c r="B122" i="4"/>
  <c r="B123" i="4" s="1"/>
  <c r="C36" i="7"/>
  <c r="C46" i="14"/>
  <c r="B107" i="14"/>
  <c r="B108" i="14" s="1"/>
  <c r="C60" i="3"/>
  <c r="B40" i="12"/>
  <c r="C301" i="3"/>
  <c r="B50" i="7"/>
  <c r="B299" i="14"/>
  <c r="B297" i="14"/>
  <c r="C223" i="3"/>
  <c r="C15" i="7"/>
  <c r="C43" i="14"/>
  <c r="C248" i="14"/>
  <c r="C302" i="3"/>
  <c r="B124" i="3"/>
  <c r="B45" i="12" s="1"/>
  <c r="C62" i="3"/>
  <c r="B186" i="3"/>
  <c r="B187" i="3" s="1"/>
  <c r="B199" i="3"/>
  <c r="B125" i="3" l="1"/>
  <c r="C73" i="14"/>
  <c r="B43" i="9"/>
  <c r="B28" i="9" s="1"/>
  <c r="B201" i="3"/>
  <c r="C139" i="3"/>
  <c r="B301" i="14"/>
  <c r="B302" i="14" s="1"/>
  <c r="C137" i="3"/>
  <c r="B202" i="3"/>
  <c r="C37" i="7"/>
  <c r="C75" i="14"/>
  <c r="C88" i="4"/>
  <c r="C91" i="4"/>
  <c r="C220" i="3"/>
  <c r="E35" i="12"/>
  <c r="B286" i="3"/>
  <c r="C19" i="12" s="1"/>
  <c r="C76" i="14"/>
  <c r="C140" i="3"/>
  <c r="C47" i="14"/>
  <c r="C48" i="14" s="1"/>
  <c r="C64" i="3"/>
  <c r="C65" i="3" s="1"/>
  <c r="C258" i="14"/>
  <c r="C225" i="3"/>
  <c r="C62" i="4"/>
  <c r="C25" i="14" s="1"/>
  <c r="C90" i="4"/>
  <c r="B56" i="12"/>
  <c r="B194" i="14"/>
  <c r="B44" i="9" l="1"/>
  <c r="B31" i="9" s="1"/>
  <c r="C72" i="4"/>
  <c r="C18" i="6"/>
  <c r="C29" i="14"/>
  <c r="C28" i="14"/>
  <c r="C30" i="14" s="1"/>
  <c r="E17" i="13" s="1"/>
  <c r="C17" i="13"/>
  <c r="C23" i="14"/>
  <c r="C26" i="14"/>
  <c r="D17" i="13" s="1"/>
  <c r="C92" i="4"/>
  <c r="C250" i="3"/>
  <c r="C226" i="3"/>
  <c r="C141" i="3"/>
  <c r="C142" i="3"/>
  <c r="B63" i="12"/>
  <c r="A2" i="16"/>
  <c r="C63" i="4"/>
  <c r="C77" i="14"/>
  <c r="C78" i="14" s="1"/>
  <c r="B45" i="9" l="1"/>
  <c r="B47" i="9"/>
  <c r="B33" i="9" s="1"/>
  <c r="B64" i="12"/>
  <c r="B65" i="12" s="1"/>
  <c r="B2" i="16"/>
  <c r="C18" i="4"/>
  <c r="C87" i="4"/>
  <c r="C265" i="3"/>
  <c r="C17" i="6"/>
  <c r="AD12" i="17" s="1"/>
  <c r="C24" i="14"/>
  <c r="B17" i="13" s="1"/>
  <c r="A19" i="13" s="1"/>
  <c r="C31" i="14" s="1"/>
  <c r="C70" i="4"/>
  <c r="C96" i="2"/>
  <c r="C97" i="2"/>
  <c r="AJ12" i="17"/>
  <c r="C19" i="6"/>
  <c r="B49" i="9" l="1"/>
  <c r="B278" i="14" s="1"/>
  <c r="B50" i="9"/>
  <c r="B52" i="9"/>
  <c r="B53" i="9"/>
  <c r="AP12" i="17"/>
  <c r="C236" i="3"/>
  <c r="C71" i="4"/>
  <c r="C78" i="4" s="1"/>
  <c r="C85" i="4"/>
  <c r="C22" i="6"/>
  <c r="BF10" i="17"/>
  <c r="C239" i="3"/>
  <c r="C204" i="14"/>
  <c r="B67" i="12"/>
  <c r="B68" i="12" s="1"/>
  <c r="B48" i="9"/>
  <c r="C2" i="16"/>
  <c r="C266" i="14"/>
  <c r="C21" i="6"/>
  <c r="AZ10" i="17"/>
  <c r="C238" i="3"/>
  <c r="C102" i="4"/>
  <c r="C240" i="3" l="1"/>
  <c r="C241" i="3" s="1"/>
  <c r="C77" i="3"/>
  <c r="C223" i="14"/>
  <c r="C253" i="3"/>
  <c r="C86" i="4"/>
  <c r="C93" i="4" s="1"/>
  <c r="B69" i="12"/>
  <c r="F2" i="16"/>
  <c r="B280" i="14"/>
  <c r="B274" i="14"/>
  <c r="B275" i="14"/>
  <c r="C75" i="3"/>
  <c r="C251" i="3"/>
  <c r="C221" i="14"/>
  <c r="B70" i="12"/>
  <c r="B281" i="14"/>
  <c r="G2" i="16"/>
  <c r="B54" i="9"/>
  <c r="B55" i="9" s="1"/>
  <c r="B72" i="12"/>
  <c r="H2" i="16"/>
  <c r="B283" i="14"/>
  <c r="C18" i="5"/>
  <c r="B279" i="14"/>
  <c r="C78" i="3"/>
  <c r="C254" i="3"/>
  <c r="C224" i="14"/>
  <c r="B73" i="12"/>
  <c r="I2" i="16"/>
  <c r="B284" i="14"/>
  <c r="B74" i="12" l="1"/>
  <c r="B75" i="12" s="1"/>
  <c r="B64" i="9"/>
  <c r="B68" i="9"/>
  <c r="B69" i="9"/>
  <c r="B66" i="9"/>
  <c r="B71" i="9"/>
  <c r="B59" i="9"/>
  <c r="B61" i="9"/>
  <c r="B60" i="9"/>
  <c r="B63" i="9"/>
  <c r="C225" i="14"/>
  <c r="C226" i="14" s="1"/>
  <c r="C155" i="3"/>
  <c r="C93" i="3"/>
  <c r="C152" i="3"/>
  <c r="C90" i="3"/>
  <c r="B276" i="14"/>
  <c r="C255" i="3"/>
  <c r="C256" i="3" s="1"/>
  <c r="C79" i="3"/>
  <c r="C80" i="3" s="1"/>
  <c r="C154" i="3"/>
  <c r="C92" i="3"/>
  <c r="B65" i="9"/>
  <c r="B285" i="14"/>
  <c r="B20" i="12"/>
  <c r="C191" i="14"/>
  <c r="C192" i="14" s="1"/>
  <c r="B70" i="9"/>
  <c r="C94" i="3" l="1"/>
  <c r="C95" i="3" s="1"/>
  <c r="C170" i="3"/>
  <c r="C69" i="5"/>
  <c r="C63" i="5"/>
  <c r="C76" i="5"/>
  <c r="C156" i="3"/>
  <c r="C157" i="3" s="1"/>
  <c r="C169" i="3"/>
  <c r="C167" i="3"/>
  <c r="B286" i="14"/>
  <c r="B317" i="14" s="1"/>
  <c r="B308" i="14" l="1"/>
  <c r="C144" i="14"/>
  <c r="C47" i="5"/>
  <c r="C31" i="5" s="1"/>
  <c r="C137" i="14"/>
  <c r="C45" i="5"/>
  <c r="C29" i="5" s="1"/>
  <c r="C171" i="3"/>
  <c r="C172" i="3" s="1"/>
  <c r="B318" i="14"/>
  <c r="B310" i="14"/>
  <c r="B312" i="14"/>
  <c r="B307" i="14"/>
  <c r="B316" i="14"/>
  <c r="B306" i="14"/>
  <c r="B311" i="14"/>
  <c r="B315" i="14"/>
  <c r="B313" i="14"/>
  <c r="C131" i="14"/>
  <c r="C44" i="5"/>
  <c r="C28" i="5" s="1"/>
  <c r="C260" i="3" l="1"/>
  <c r="C82" i="14"/>
  <c r="AT11" i="17"/>
  <c r="C263" i="3"/>
  <c r="C100" i="4"/>
  <c r="C85" i="14"/>
  <c r="AZ11" i="17"/>
  <c r="C259" i="3"/>
  <c r="C81" i="14"/>
  <c r="AN11" i="17"/>
  <c r="C261" i="3" l="1"/>
  <c r="C75" i="9"/>
  <c r="C274" i="3"/>
  <c r="C86" i="14"/>
  <c r="C100" i="14"/>
  <c r="C264" i="3"/>
  <c r="C81" i="9"/>
  <c r="C278" i="3"/>
  <c r="C76" i="9"/>
  <c r="C275" i="3"/>
  <c r="C17" i="5"/>
  <c r="C16" i="5"/>
  <c r="C101" i="4"/>
  <c r="C17" i="4"/>
  <c r="C34" i="4"/>
  <c r="C83" i="14"/>
  <c r="C96" i="14"/>
  <c r="C97" i="14"/>
  <c r="C199" i="14" l="1"/>
  <c r="D291" i="3"/>
  <c r="D37" i="14"/>
  <c r="C98" i="14"/>
  <c r="D36" i="14"/>
  <c r="D40" i="14"/>
  <c r="C101" i="14"/>
  <c r="C77" i="9"/>
  <c r="C198" i="14"/>
  <c r="C82" i="9"/>
  <c r="C203" i="14"/>
  <c r="C202" i="14"/>
  <c r="C265" i="14"/>
  <c r="C279" i="3"/>
  <c r="E31" i="12" s="1"/>
  <c r="D294" i="3"/>
  <c r="C116" i="4"/>
  <c r="C115" i="4"/>
  <c r="C35" i="4"/>
  <c r="C276" i="3"/>
  <c r="D290" i="3"/>
  <c r="E26" i="12" l="1"/>
  <c r="D55" i="4"/>
  <c r="C200" i="14"/>
  <c r="D77" i="5"/>
  <c r="D145" i="14" s="1"/>
  <c r="D215" i="3"/>
  <c r="D292" i="3"/>
  <c r="D214" i="14"/>
  <c r="E290" i="3"/>
  <c r="D53" i="3"/>
  <c r="D66" i="14"/>
  <c r="D38" i="14"/>
  <c r="E36" i="14"/>
  <c r="D215" i="14"/>
  <c r="E215" i="14" s="1"/>
  <c r="E291" i="3"/>
  <c r="D54" i="3"/>
  <c r="D64" i="5"/>
  <c r="D132" i="14" s="1"/>
  <c r="D214" i="3"/>
  <c r="D218" i="3"/>
  <c r="D67" i="14"/>
  <c r="E37" i="14"/>
  <c r="D295" i="3"/>
  <c r="D218" i="14"/>
  <c r="E294" i="3"/>
  <c r="E295" i="3" s="1"/>
  <c r="D57" i="3"/>
  <c r="D41" i="14"/>
  <c r="D70" i="14"/>
  <c r="E40" i="14"/>
  <c r="E41" i="14" s="1"/>
  <c r="D70" i="5"/>
  <c r="D138" i="14" s="1"/>
  <c r="D68" i="14" l="1"/>
  <c r="E66" i="14"/>
  <c r="D56" i="4"/>
  <c r="E55" i="4"/>
  <c r="E56" i="4" s="1"/>
  <c r="D87" i="3"/>
  <c r="D58" i="3"/>
  <c r="E57" i="3"/>
  <c r="E58" i="3" s="1"/>
  <c r="D219" i="3"/>
  <c r="D248" i="3"/>
  <c r="E218" i="3"/>
  <c r="E219" i="3" s="1"/>
  <c r="C181" i="14"/>
  <c r="E38" i="14"/>
  <c r="E292" i="3"/>
  <c r="E67" i="14"/>
  <c r="D84" i="3"/>
  <c r="E54" i="3"/>
  <c r="D216" i="14"/>
  <c r="E214" i="14"/>
  <c r="D71" i="14"/>
  <c r="E70" i="14"/>
  <c r="E71" i="14" s="1"/>
  <c r="D219" i="14"/>
  <c r="E219" i="14" s="1"/>
  <c r="E218" i="14"/>
  <c r="D216" i="3"/>
  <c r="D244" i="3"/>
  <c r="E214" i="3"/>
  <c r="D55" i="3"/>
  <c r="D83" i="3"/>
  <c r="E53" i="3"/>
  <c r="E55" i="3" s="1"/>
  <c r="D245" i="3"/>
  <c r="E215" i="3"/>
  <c r="D114" i="3" l="1"/>
  <c r="E114" i="3" s="1"/>
  <c r="E84" i="3"/>
  <c r="D249" i="3"/>
  <c r="E248" i="3"/>
  <c r="E249" i="3" s="1"/>
  <c r="D117" i="3"/>
  <c r="D88" i="3"/>
  <c r="E87" i="3"/>
  <c r="E88" i="3" s="1"/>
  <c r="D85" i="3"/>
  <c r="D113" i="3"/>
  <c r="E83" i="3"/>
  <c r="E85" i="3" s="1"/>
  <c r="E216" i="14"/>
  <c r="E68" i="14"/>
  <c r="D246" i="3"/>
  <c r="E244" i="3"/>
  <c r="E245" i="3"/>
  <c r="C31" i="6"/>
  <c r="C36" i="6"/>
  <c r="C103" i="5"/>
  <c r="C30" i="6"/>
  <c r="C40" i="6"/>
  <c r="C182" i="14" s="1"/>
  <c r="C45" i="6"/>
  <c r="C97" i="5"/>
  <c r="C44" i="6"/>
  <c r="C184" i="14" s="1"/>
  <c r="C90" i="5"/>
  <c r="C96" i="4"/>
  <c r="C97" i="4"/>
  <c r="E216" i="3"/>
  <c r="C171" i="14" l="1"/>
  <c r="C52" i="5"/>
  <c r="C36" i="5" s="1"/>
  <c r="D115" i="3"/>
  <c r="E113" i="3"/>
  <c r="E115" i="3" s="1"/>
  <c r="C158" i="14"/>
  <c r="C49" i="5"/>
  <c r="C33" i="5" s="1"/>
  <c r="C165" i="14"/>
  <c r="C51" i="5"/>
  <c r="C35" i="5" s="1"/>
  <c r="C175" i="14"/>
  <c r="D118" i="3"/>
  <c r="B32" i="12" s="1"/>
  <c r="E117" i="3"/>
  <c r="E118" i="3" s="1"/>
  <c r="C98" i="4"/>
  <c r="C12" i="5"/>
  <c r="C14" i="4"/>
  <c r="C32" i="6"/>
  <c r="C177" i="14"/>
  <c r="C176" i="14"/>
  <c r="D75" i="5"/>
  <c r="D94" i="5"/>
  <c r="D100" i="5"/>
  <c r="D87" i="5"/>
  <c r="D62" i="5"/>
  <c r="D68" i="5"/>
  <c r="C13" i="5"/>
  <c r="C15" i="4"/>
  <c r="C46" i="6"/>
  <c r="C187" i="14" s="1"/>
  <c r="C186" i="14"/>
  <c r="C185" i="14"/>
  <c r="C37" i="6"/>
  <c r="C179" i="14"/>
  <c r="C180" i="14"/>
  <c r="E246" i="3"/>
  <c r="D136" i="14" l="1"/>
  <c r="D162" i="14"/>
  <c r="C14" i="5"/>
  <c r="C268" i="3"/>
  <c r="C105" i="4"/>
  <c r="C39" i="7"/>
  <c r="F12" i="17"/>
  <c r="D168" i="14"/>
  <c r="C269" i="3"/>
  <c r="C106" i="4"/>
  <c r="C40" i="7"/>
  <c r="L12" i="17"/>
  <c r="D155" i="14"/>
  <c r="C262" i="14"/>
  <c r="C266" i="3"/>
  <c r="C103" i="4"/>
  <c r="C16" i="7"/>
  <c r="BL11" i="17"/>
  <c r="B27" i="12"/>
  <c r="C263" i="14"/>
  <c r="D130" i="14"/>
  <c r="D143" i="14"/>
  <c r="C208" i="14" l="1"/>
  <c r="C284" i="3"/>
  <c r="C107" i="3"/>
  <c r="C41" i="7"/>
  <c r="C90" i="14"/>
  <c r="C43" i="7"/>
  <c r="C205" i="14"/>
  <c r="C281" i="3"/>
  <c r="C22" i="5"/>
  <c r="C22" i="4"/>
  <c r="C40" i="4"/>
  <c r="C19" i="5"/>
  <c r="C19" i="4"/>
  <c r="C37" i="4"/>
  <c r="C108" i="3"/>
  <c r="C91" i="14"/>
  <c r="C44" i="7"/>
  <c r="C270" i="3"/>
  <c r="C271" i="3" s="1"/>
  <c r="C207" i="14"/>
  <c r="C283" i="3"/>
  <c r="C105" i="3"/>
  <c r="C88" i="14"/>
  <c r="C17" i="7"/>
  <c r="C107" i="4"/>
  <c r="C108" i="4" s="1"/>
  <c r="C36" i="4" s="1"/>
  <c r="D247" i="14" s="1"/>
  <c r="C21" i="5"/>
  <c r="C21" i="4"/>
  <c r="C39" i="4"/>
  <c r="C13" i="3" l="1"/>
  <c r="E247" i="14"/>
  <c r="C209" i="14"/>
  <c r="C267" i="14"/>
  <c r="D253" i="14" s="1"/>
  <c r="C270" i="14"/>
  <c r="D256" i="14" s="1"/>
  <c r="E41" i="12"/>
  <c r="D297" i="3"/>
  <c r="D246" i="14"/>
  <c r="C285" i="3"/>
  <c r="E46" i="12" s="1"/>
  <c r="D299" i="3"/>
  <c r="D28" i="7"/>
  <c r="C106" i="14"/>
  <c r="C118" i="4"/>
  <c r="C19" i="7"/>
  <c r="C121" i="4"/>
  <c r="C49" i="7"/>
  <c r="C92" i="14"/>
  <c r="C93" i="14" s="1"/>
  <c r="C23" i="5"/>
  <c r="C24" i="5" s="1"/>
  <c r="C269" i="14"/>
  <c r="D255" i="14" s="1"/>
  <c r="D13" i="7"/>
  <c r="C103" i="14"/>
  <c r="C185" i="3"/>
  <c r="C123" i="3"/>
  <c r="D300" i="3"/>
  <c r="D224" i="3" s="1"/>
  <c r="C41" i="4"/>
  <c r="C42" i="4" s="1"/>
  <c r="C120" i="4"/>
  <c r="C48" i="7"/>
  <c r="C117" i="4"/>
  <c r="D252" i="14"/>
  <c r="D250" i="14"/>
  <c r="C182" i="3"/>
  <c r="C16" i="8"/>
  <c r="C120" i="3"/>
  <c r="C210" i="14"/>
  <c r="C45" i="7"/>
  <c r="D27" i="7"/>
  <c r="C105" i="14"/>
  <c r="C184" i="3"/>
  <c r="C109" i="3"/>
  <c r="C110" i="3" s="1"/>
  <c r="C19" i="8"/>
  <c r="C122" i="3"/>
  <c r="E224" i="3" l="1"/>
  <c r="C193" i="14"/>
  <c r="C22" i="8" s="1"/>
  <c r="C27" i="9"/>
  <c r="C280" i="3"/>
  <c r="C21" i="3"/>
  <c r="D257" i="14"/>
  <c r="E257" i="14" s="1"/>
  <c r="E255" i="14"/>
  <c r="C19" i="3"/>
  <c r="E253" i="14"/>
  <c r="C124" i="3"/>
  <c r="B46" i="12" s="1"/>
  <c r="D62" i="3"/>
  <c r="C107" i="14"/>
  <c r="C200" i="3"/>
  <c r="C300" i="14"/>
  <c r="D36" i="7"/>
  <c r="D46" i="14"/>
  <c r="E46" i="14" s="1"/>
  <c r="E28" i="7"/>
  <c r="E297" i="3"/>
  <c r="C197" i="3"/>
  <c r="C50" i="7"/>
  <c r="C299" i="14"/>
  <c r="C22" i="3"/>
  <c r="E256" i="14"/>
  <c r="D15" i="7"/>
  <c r="D43" i="14"/>
  <c r="E13" i="7"/>
  <c r="C297" i="14"/>
  <c r="D221" i="3"/>
  <c r="C186" i="3"/>
  <c r="C187" i="3" s="1"/>
  <c r="C199" i="3"/>
  <c r="D60" i="3"/>
  <c r="B41" i="12"/>
  <c r="C125" i="3"/>
  <c r="C18" i="3"/>
  <c r="E252" i="14"/>
  <c r="E300" i="3"/>
  <c r="C108" i="14"/>
  <c r="D61" i="4"/>
  <c r="D301" i="3"/>
  <c r="D302" i="3" s="1"/>
  <c r="E299" i="3"/>
  <c r="E301" i="3" s="1"/>
  <c r="C12" i="3"/>
  <c r="C14" i="3" s="1"/>
  <c r="D248" i="14"/>
  <c r="E246" i="14"/>
  <c r="D35" i="7"/>
  <c r="D45" i="14"/>
  <c r="D29" i="7"/>
  <c r="E27" i="7"/>
  <c r="C16" i="3"/>
  <c r="C17" i="3" s="1"/>
  <c r="D251" i="14"/>
  <c r="E251" i="14" s="1"/>
  <c r="E250" i="14"/>
  <c r="D57" i="4"/>
  <c r="D60" i="4"/>
  <c r="C122" i="4"/>
  <c r="C123" i="4" s="1"/>
  <c r="D63" i="3"/>
  <c r="D58" i="4"/>
  <c r="D223" i="3"/>
  <c r="E29" i="7" l="1"/>
  <c r="D47" i="14"/>
  <c r="D48" i="14" s="1"/>
  <c r="E45" i="14"/>
  <c r="E47" i="14" s="1"/>
  <c r="E43" i="14"/>
  <c r="D137" i="3"/>
  <c r="D76" i="14"/>
  <c r="E76" i="14" s="1"/>
  <c r="E36" i="7"/>
  <c r="D140" i="3"/>
  <c r="D220" i="3"/>
  <c r="E36" i="12"/>
  <c r="C286" i="3"/>
  <c r="C20" i="12" s="1"/>
  <c r="E302" i="3"/>
  <c r="D225" i="3"/>
  <c r="E223" i="3"/>
  <c r="E225" i="3" s="1"/>
  <c r="D62" i="4"/>
  <c r="D63" i="4" s="1"/>
  <c r="D90" i="4"/>
  <c r="E60" i="4"/>
  <c r="D91" i="4"/>
  <c r="E61" i="4"/>
  <c r="C23" i="3"/>
  <c r="C24" i="3" s="1"/>
  <c r="D88" i="4"/>
  <c r="E58" i="4"/>
  <c r="D25" i="14"/>
  <c r="E57" i="4"/>
  <c r="C201" i="3"/>
  <c r="C202" i="3" s="1"/>
  <c r="D139" i="3"/>
  <c r="B57" i="12"/>
  <c r="C194" i="14"/>
  <c r="E63" i="3"/>
  <c r="D37" i="7"/>
  <c r="D75" i="14"/>
  <c r="E35" i="7"/>
  <c r="E37" i="7" s="1"/>
  <c r="D258" i="14"/>
  <c r="E258" i="14" s="1"/>
  <c r="E248" i="14"/>
  <c r="E60" i="3"/>
  <c r="E221" i="3"/>
  <c r="D73" i="14"/>
  <c r="E15" i="7"/>
  <c r="C301" i="14"/>
  <c r="C302" i="14" s="1"/>
  <c r="D64" i="3"/>
  <c r="D65" i="3" s="1"/>
  <c r="E62" i="3"/>
  <c r="C43" i="9"/>
  <c r="C28" i="9" s="1"/>
  <c r="E62" i="4" l="1"/>
  <c r="E64" i="3"/>
  <c r="E65" i="3" s="1"/>
  <c r="E63" i="4"/>
  <c r="E48" i="14"/>
  <c r="C44" i="9"/>
  <c r="C31" i="9" s="1"/>
  <c r="D18" i="6"/>
  <c r="D72" i="4"/>
  <c r="C21" i="13"/>
  <c r="D28" i="14"/>
  <c r="D23" i="14"/>
  <c r="D26" i="14"/>
  <c r="D21" i="13" s="1"/>
  <c r="D29" i="14"/>
  <c r="D250" i="3"/>
  <c r="E220" i="3"/>
  <c r="E226" i="3" s="1"/>
  <c r="D226" i="3"/>
  <c r="E137" i="3"/>
  <c r="D141" i="3"/>
  <c r="D142" i="3" s="1"/>
  <c r="E139" i="3"/>
  <c r="D92" i="4"/>
  <c r="E90" i="4"/>
  <c r="E73" i="14"/>
  <c r="E88" i="4"/>
  <c r="E140" i="3"/>
  <c r="C45" i="9"/>
  <c r="C63" i="12"/>
  <c r="D77" i="14"/>
  <c r="D78" i="14" s="1"/>
  <c r="E75" i="14"/>
  <c r="E77" i="14" s="1"/>
  <c r="E91" i="4"/>
  <c r="E92" i="4" l="1"/>
  <c r="D30" i="14"/>
  <c r="E21" i="13" s="1"/>
  <c r="C47" i="9"/>
  <c r="C33" i="9" s="1"/>
  <c r="D265" i="3"/>
  <c r="E250" i="3"/>
  <c r="C64" i="12"/>
  <c r="C65" i="12" s="1"/>
  <c r="D17" i="6"/>
  <c r="AF12" i="17" s="1"/>
  <c r="D24" i="14"/>
  <c r="B21" i="13" s="1"/>
  <c r="D70" i="4"/>
  <c r="D96" i="2"/>
  <c r="D97" i="2"/>
  <c r="AL12" i="17"/>
  <c r="D19" i="6"/>
  <c r="E78" i="14"/>
  <c r="E141" i="3"/>
  <c r="E142" i="3" s="1"/>
  <c r="E72" i="4"/>
  <c r="D18" i="4"/>
  <c r="D266" i="14" s="1"/>
  <c r="D87" i="4"/>
  <c r="A23" i="13" l="1"/>
  <c r="D31" i="14" s="1"/>
  <c r="C49" i="9"/>
  <c r="C52" i="9"/>
  <c r="C53" i="9"/>
  <c r="C50" i="9"/>
  <c r="D22" i="6"/>
  <c r="BH10" i="17"/>
  <c r="D239" i="3"/>
  <c r="E265" i="3"/>
  <c r="D204" i="14"/>
  <c r="C67" i="12"/>
  <c r="C68" i="12" s="1"/>
  <c r="C48" i="9"/>
  <c r="D2" i="16"/>
  <c r="C278" i="14"/>
  <c r="D102" i="4"/>
  <c r="E87" i="4"/>
  <c r="D71" i="4"/>
  <c r="D78" i="4" s="1"/>
  <c r="E70" i="4"/>
  <c r="E71" i="4" s="1"/>
  <c r="E78" i="4" s="1"/>
  <c r="D85" i="4"/>
  <c r="AR12" i="17"/>
  <c r="D236" i="3"/>
  <c r="D21" i="6"/>
  <c r="BB10" i="17"/>
  <c r="D238" i="3"/>
  <c r="C69" i="12" l="1"/>
  <c r="C280" i="14"/>
  <c r="C274" i="14"/>
  <c r="C275" i="14"/>
  <c r="D75" i="3"/>
  <c r="E236" i="3"/>
  <c r="D221" i="14"/>
  <c r="D251" i="3"/>
  <c r="D86" i="4"/>
  <c r="D93" i="4" s="1"/>
  <c r="E85" i="4"/>
  <c r="E86" i="4" s="1"/>
  <c r="E93" i="4" s="1"/>
  <c r="D18" i="5"/>
  <c r="E18" i="5" s="1"/>
  <c r="E102" i="4"/>
  <c r="C14" i="9"/>
  <c r="E204" i="14"/>
  <c r="C54" i="9"/>
  <c r="C55" i="9" s="1"/>
  <c r="C72" i="12"/>
  <c r="C283" i="14"/>
  <c r="C73" i="12"/>
  <c r="C284" i="14"/>
  <c r="C279" i="14"/>
  <c r="B326" i="14"/>
  <c r="D77" i="3"/>
  <c r="D240" i="3"/>
  <c r="D241" i="3" s="1"/>
  <c r="E238" i="3"/>
  <c r="D223" i="14"/>
  <c r="D253" i="3"/>
  <c r="D78" i="3"/>
  <c r="E239" i="3"/>
  <c r="D224" i="14"/>
  <c r="E224" i="14" s="1"/>
  <c r="D254" i="3"/>
  <c r="C70" i="12"/>
  <c r="C281" i="14"/>
  <c r="C68" i="9" l="1"/>
  <c r="C66" i="9"/>
  <c r="C64" i="9"/>
  <c r="C74" i="12"/>
  <c r="B21" i="12"/>
  <c r="B22" i="12" s="1"/>
  <c r="D191" i="14"/>
  <c r="D192" i="14" s="1"/>
  <c r="D225" i="14"/>
  <c r="E225" i="14" s="1"/>
  <c r="E223" i="14"/>
  <c r="D79" i="3"/>
  <c r="D154" i="3"/>
  <c r="E77" i="3"/>
  <c r="D92" i="3"/>
  <c r="B332" i="14"/>
  <c r="B323" i="14"/>
  <c r="C65" i="9"/>
  <c r="D255" i="3"/>
  <c r="E253" i="3"/>
  <c r="C285" i="14"/>
  <c r="B331" i="14"/>
  <c r="E221" i="14"/>
  <c r="D226" i="14"/>
  <c r="E226" i="14" s="1"/>
  <c r="D152" i="3"/>
  <c r="D80" i="3"/>
  <c r="E75" i="3"/>
  <c r="D90" i="3"/>
  <c r="C75" i="12"/>
  <c r="E254" i="3"/>
  <c r="E251" i="3"/>
  <c r="D256" i="3"/>
  <c r="B328" i="14"/>
  <c r="E240" i="3"/>
  <c r="C69" i="9"/>
  <c r="D155" i="3"/>
  <c r="E78" i="3"/>
  <c r="D93" i="3"/>
  <c r="B329" i="14"/>
  <c r="C71" i="9"/>
  <c r="C59" i="9"/>
  <c r="C61" i="9"/>
  <c r="C60" i="9"/>
  <c r="C63" i="9"/>
  <c r="B327" i="14"/>
  <c r="C276" i="14"/>
  <c r="B322" i="14"/>
  <c r="C70" i="9"/>
  <c r="E241" i="3"/>
  <c r="B333" i="14" l="1"/>
  <c r="E79" i="3"/>
  <c r="E80" i="3" s="1"/>
  <c r="B324" i="14"/>
  <c r="C286" i="14"/>
  <c r="C317" i="14" s="1"/>
  <c r="D94" i="3"/>
  <c r="D95" i="3" s="1"/>
  <c r="E92" i="3"/>
  <c r="D63" i="5"/>
  <c r="D76" i="5"/>
  <c r="D69" i="5"/>
  <c r="E255" i="3"/>
  <c r="E256" i="3" s="1"/>
  <c r="E93" i="3"/>
  <c r="D156" i="3"/>
  <c r="D157" i="3" s="1"/>
  <c r="E154" i="3"/>
  <c r="D169" i="3"/>
  <c r="E155" i="3"/>
  <c r="D170" i="3"/>
  <c r="E90" i="3"/>
  <c r="E152" i="3"/>
  <c r="D167" i="3"/>
  <c r="B334" i="14" l="1"/>
  <c r="E94" i="3"/>
  <c r="E95" i="3" s="1"/>
  <c r="D131" i="14"/>
  <c r="D44" i="5"/>
  <c r="D28" i="5" s="1"/>
  <c r="D144" i="14"/>
  <c r="D47" i="5"/>
  <c r="D31" i="5" s="1"/>
  <c r="C318" i="14"/>
  <c r="C310" i="14"/>
  <c r="C315" i="14"/>
  <c r="C313" i="14"/>
  <c r="C316" i="14"/>
  <c r="C312" i="14"/>
  <c r="C311" i="14"/>
  <c r="C306" i="14"/>
  <c r="C307" i="14"/>
  <c r="E156" i="3"/>
  <c r="E157" i="3" s="1"/>
  <c r="D137" i="14"/>
  <c r="D45" i="5"/>
  <c r="D29" i="5" s="1"/>
  <c r="E167" i="3"/>
  <c r="E170" i="3"/>
  <c r="D171" i="3"/>
  <c r="D172" i="3" s="1"/>
  <c r="E169" i="3"/>
  <c r="C308" i="14"/>
  <c r="E171" i="3" l="1"/>
  <c r="E172" i="3" s="1"/>
  <c r="D260" i="3"/>
  <c r="D82" i="14"/>
  <c r="AV11" i="17"/>
  <c r="D259" i="3"/>
  <c r="D81" i="14"/>
  <c r="AP11" i="17"/>
  <c r="D263" i="3"/>
  <c r="D100" i="4"/>
  <c r="D85" i="14"/>
  <c r="BB11" i="17"/>
  <c r="D264" i="3" l="1"/>
  <c r="E263" i="3"/>
  <c r="E264" i="3" s="1"/>
  <c r="D81" i="9"/>
  <c r="D278" i="3"/>
  <c r="E260" i="3"/>
  <c r="D76" i="9"/>
  <c r="D275" i="3"/>
  <c r="D261" i="3"/>
  <c r="E259" i="3"/>
  <c r="E261" i="3" s="1"/>
  <c r="D75" i="9"/>
  <c r="D274" i="3"/>
  <c r="D16" i="5"/>
  <c r="E16" i="5" s="1"/>
  <c r="D101" i="4"/>
  <c r="D17" i="5"/>
  <c r="E100" i="4"/>
  <c r="D17" i="4"/>
  <c r="D265" i="14" s="1"/>
  <c r="D34" i="4"/>
  <c r="E82" i="14"/>
  <c r="D97" i="14"/>
  <c r="E97" i="14" s="1"/>
  <c r="D86" i="14"/>
  <c r="E85" i="14"/>
  <c r="E86" i="14" s="1"/>
  <c r="D100" i="14"/>
  <c r="D83" i="14"/>
  <c r="E81" i="14"/>
  <c r="D96" i="14"/>
  <c r="D115" i="4" l="1"/>
  <c r="E115" i="4" s="1"/>
  <c r="D35" i="4"/>
  <c r="D116" i="4"/>
  <c r="E34" i="4"/>
  <c r="D101" i="14"/>
  <c r="E100" i="14"/>
  <c r="E101" i="14" s="1"/>
  <c r="C8" i="9"/>
  <c r="D77" i="9"/>
  <c r="D198" i="14"/>
  <c r="E75" i="9"/>
  <c r="C9" i="9"/>
  <c r="D199" i="14"/>
  <c r="E199" i="14" s="1"/>
  <c r="E76" i="9"/>
  <c r="D98" i="14"/>
  <c r="E96" i="14"/>
  <c r="E98" i="14" s="1"/>
  <c r="D276" i="3"/>
  <c r="E274" i="3"/>
  <c r="E275" i="3"/>
  <c r="C12" i="9"/>
  <c r="C13" i="9" s="1"/>
  <c r="D82" i="9"/>
  <c r="D202" i="14"/>
  <c r="E202" i="14" s="1"/>
  <c r="D203" i="14"/>
  <c r="E81" i="9"/>
  <c r="E101" i="4"/>
  <c r="E17" i="5"/>
  <c r="D279" i="3"/>
  <c r="E32" i="12" s="1"/>
  <c r="E278" i="3"/>
  <c r="E279" i="3" s="1"/>
  <c r="E83" i="14"/>
  <c r="E35" i="4" l="1"/>
  <c r="E116" i="4"/>
  <c r="C10" i="9"/>
  <c r="E27" i="12"/>
  <c r="E82" i="9"/>
  <c r="E203" i="14"/>
  <c r="D200" i="14"/>
  <c r="E198" i="14"/>
  <c r="E200" i="14" s="1"/>
  <c r="E276" i="3"/>
  <c r="E77" i="9"/>
  <c r="D181" i="14" l="1"/>
  <c r="D103" i="5" l="1"/>
  <c r="D30" i="6"/>
  <c r="D40" i="6"/>
  <c r="D45" i="6"/>
  <c r="D97" i="5"/>
  <c r="D44" i="6"/>
  <c r="D31" i="6"/>
  <c r="D36" i="6"/>
  <c r="E181" i="14"/>
  <c r="D90" i="5"/>
  <c r="D96" i="4"/>
  <c r="D97" i="4"/>
  <c r="D171" i="14" l="1"/>
  <c r="D52" i="5"/>
  <c r="D36" i="5" s="1"/>
  <c r="D158" i="14"/>
  <c r="D49" i="5"/>
  <c r="D33" i="5" s="1"/>
  <c r="E31" i="6"/>
  <c r="D32" i="6"/>
  <c r="E176" i="14"/>
  <c r="D177" i="14"/>
  <c r="D176" i="14"/>
  <c r="D165" i="14"/>
  <c r="D51" i="5"/>
  <c r="D35" i="5" s="1"/>
  <c r="E30" i="6"/>
  <c r="E175" i="14"/>
  <c r="D175" i="14"/>
  <c r="D98" i="4"/>
  <c r="D12" i="5"/>
  <c r="E96" i="4"/>
  <c r="D14" i="4"/>
  <c r="D262" i="14" s="1"/>
  <c r="E36" i="6"/>
  <c r="D37" i="6"/>
  <c r="E179" i="14"/>
  <c r="D180" i="14"/>
  <c r="D179" i="14"/>
  <c r="E44" i="6"/>
  <c r="E184" i="14"/>
  <c r="D184" i="14"/>
  <c r="E40" i="6"/>
  <c r="D182" i="14"/>
  <c r="E182" i="14"/>
  <c r="D13" i="5"/>
  <c r="E13" i="5" s="1"/>
  <c r="E97" i="4"/>
  <c r="D15" i="4"/>
  <c r="D263" i="14" s="1"/>
  <c r="E45" i="6"/>
  <c r="D46" i="6"/>
  <c r="D187" i="14" s="1"/>
  <c r="E187" i="14" s="1"/>
  <c r="E185" i="14"/>
  <c r="D186" i="14"/>
  <c r="D185" i="14"/>
  <c r="E37" i="6" l="1"/>
  <c r="E180" i="14"/>
  <c r="E32" i="6"/>
  <c r="E177" i="14"/>
  <c r="D14" i="5"/>
  <c r="E12" i="5"/>
  <c r="E14" i="5" s="1"/>
  <c r="D269" i="3"/>
  <c r="D106" i="4"/>
  <c r="D40" i="7"/>
  <c r="N12" i="17"/>
  <c r="E46" i="6"/>
  <c r="E186" i="14"/>
  <c r="E98" i="4"/>
  <c r="D268" i="3"/>
  <c r="D105" i="4"/>
  <c r="D39" i="7"/>
  <c r="H12" i="17"/>
  <c r="D266" i="3"/>
  <c r="D103" i="4"/>
  <c r="D16" i="7"/>
  <c r="B12" i="17"/>
  <c r="D107" i="3" l="1"/>
  <c r="D41" i="7"/>
  <c r="D90" i="14"/>
  <c r="E39" i="7"/>
  <c r="D43" i="7"/>
  <c r="D105" i="3"/>
  <c r="D88" i="14"/>
  <c r="E16" i="7"/>
  <c r="D17" i="7"/>
  <c r="D22" i="5"/>
  <c r="E22" i="5" s="1"/>
  <c r="E106" i="4"/>
  <c r="D22" i="4"/>
  <c r="D270" i="14" s="1"/>
  <c r="D40" i="4"/>
  <c r="D108" i="3"/>
  <c r="D91" i="14"/>
  <c r="E91" i="14" s="1"/>
  <c r="E40" i="7"/>
  <c r="D44" i="7"/>
  <c r="E266" i="3"/>
  <c r="D205" i="14"/>
  <c r="D281" i="3"/>
  <c r="D270" i="3"/>
  <c r="D271" i="3" s="1"/>
  <c r="E268" i="3"/>
  <c r="D207" i="14"/>
  <c r="D283" i="3"/>
  <c r="D19" i="5"/>
  <c r="E19" i="5" s="1"/>
  <c r="E103" i="4"/>
  <c r="D19" i="4"/>
  <c r="D267" i="14" s="1"/>
  <c r="D37" i="4"/>
  <c r="D107" i="4"/>
  <c r="D108" i="4" s="1"/>
  <c r="D36" i="4" s="1"/>
  <c r="D21" i="5"/>
  <c r="E105" i="4"/>
  <c r="E107" i="4" s="1"/>
  <c r="D21" i="4"/>
  <c r="D269" i="14" s="1"/>
  <c r="D39" i="4"/>
  <c r="E269" i="3"/>
  <c r="D208" i="14"/>
  <c r="D284" i="3"/>
  <c r="E284" i="3" s="1"/>
  <c r="E108" i="4" l="1"/>
  <c r="D185" i="3"/>
  <c r="E108" i="3"/>
  <c r="D123" i="3"/>
  <c r="E123" i="3" s="1"/>
  <c r="D182" i="3"/>
  <c r="D16" i="8"/>
  <c r="E16" i="8" s="1"/>
  <c r="E105" i="3"/>
  <c r="D120" i="3"/>
  <c r="D92" i="14"/>
  <c r="D93" i="14" s="1"/>
  <c r="E90" i="14"/>
  <c r="E92" i="14" s="1"/>
  <c r="C15" i="9"/>
  <c r="E205" i="14"/>
  <c r="E88" i="14"/>
  <c r="E270" i="3"/>
  <c r="E271" i="3" s="1"/>
  <c r="E41" i="7"/>
  <c r="D117" i="4"/>
  <c r="E36" i="4"/>
  <c r="C17" i="9"/>
  <c r="D209" i="14"/>
  <c r="E209" i="14" s="1"/>
  <c r="E207" i="14"/>
  <c r="E42" i="12"/>
  <c r="E281" i="3"/>
  <c r="D105" i="14"/>
  <c r="D45" i="7"/>
  <c r="E43" i="7"/>
  <c r="D184" i="3"/>
  <c r="D109" i="3"/>
  <c r="D110" i="3" s="1"/>
  <c r="D19" i="8"/>
  <c r="E107" i="3"/>
  <c r="D122" i="3"/>
  <c r="D41" i="4"/>
  <c r="D42" i="4" s="1"/>
  <c r="D120" i="4"/>
  <c r="E39" i="4"/>
  <c r="D48" i="7"/>
  <c r="D23" i="5"/>
  <c r="D24" i="5" s="1"/>
  <c r="E21" i="5"/>
  <c r="E23" i="5" s="1"/>
  <c r="E24" i="5" s="1"/>
  <c r="C18" i="9"/>
  <c r="E208" i="14"/>
  <c r="D118" i="4"/>
  <c r="E118" i="4" s="1"/>
  <c r="E37" i="4"/>
  <c r="D19" i="7"/>
  <c r="D285" i="3"/>
  <c r="E47" i="12" s="1"/>
  <c r="E283" i="3"/>
  <c r="E285" i="3" s="1"/>
  <c r="D106" i="14"/>
  <c r="E106" i="14" s="1"/>
  <c r="E44" i="7"/>
  <c r="D121" i="4"/>
  <c r="E121" i="4" s="1"/>
  <c r="E40" i="4"/>
  <c r="D49" i="7"/>
  <c r="D103" i="14"/>
  <c r="E17" i="7"/>
  <c r="E93" i="14" l="1"/>
  <c r="D193" i="14"/>
  <c r="D22" i="8" s="1"/>
  <c r="D27" i="9"/>
  <c r="D280" i="3"/>
  <c r="D297" i="14"/>
  <c r="E19" i="7"/>
  <c r="D186" i="3"/>
  <c r="E184" i="3"/>
  <c r="D199" i="3"/>
  <c r="E41" i="4"/>
  <c r="E42" i="4" s="1"/>
  <c r="C19" i="9"/>
  <c r="C20" i="9" s="1"/>
  <c r="D50" i="7"/>
  <c r="D299" i="14"/>
  <c r="E48" i="7"/>
  <c r="D124" i="3"/>
  <c r="B47" i="12" s="1"/>
  <c r="E122" i="3"/>
  <c r="E124" i="3" s="1"/>
  <c r="D107" i="14"/>
  <c r="E105" i="14"/>
  <c r="E107" i="14" s="1"/>
  <c r="D210" i="14"/>
  <c r="E210" i="14" s="1"/>
  <c r="E103" i="14"/>
  <c r="D108" i="14"/>
  <c r="D187" i="3"/>
  <c r="E182" i="3"/>
  <c r="D197" i="3"/>
  <c r="E185" i="3"/>
  <c r="D200" i="3"/>
  <c r="D300" i="14"/>
  <c r="E300" i="14" s="1"/>
  <c r="E49" i="7"/>
  <c r="D122" i="4"/>
  <c r="D123" i="4" s="1"/>
  <c r="E120" i="4"/>
  <c r="E122" i="4" s="1"/>
  <c r="E109" i="3"/>
  <c r="E110" i="3" s="1"/>
  <c r="E19" i="8"/>
  <c r="E117" i="4"/>
  <c r="B42" i="12"/>
  <c r="D125" i="3"/>
  <c r="E120" i="3"/>
  <c r="E125" i="3" s="1"/>
  <c r="E45" i="7"/>
  <c r="E123" i="4" l="1"/>
  <c r="E108" i="14"/>
  <c r="B21" i="3"/>
  <c r="D201" i="3"/>
  <c r="D202" i="3" s="1"/>
  <c r="E199" i="3"/>
  <c r="E297" i="14"/>
  <c r="B58" i="12"/>
  <c r="D194" i="14"/>
  <c r="B19" i="3"/>
  <c r="E197" i="3"/>
  <c r="D301" i="14"/>
  <c r="D302" i="14" s="1"/>
  <c r="E299" i="14"/>
  <c r="E301" i="14" s="1"/>
  <c r="B8" i="9"/>
  <c r="D43" i="9"/>
  <c r="D28" i="9" s="1"/>
  <c r="E37" i="12"/>
  <c r="E280" i="3"/>
  <c r="E286" i="3" s="1"/>
  <c r="D286" i="3"/>
  <c r="C21" i="12" s="1"/>
  <c r="C22" i="12" s="1"/>
  <c r="E50" i="7"/>
  <c r="B22" i="3"/>
  <c r="E200" i="3"/>
  <c r="E186" i="3"/>
  <c r="E187" i="3" s="1"/>
  <c r="B9" i="9" l="1"/>
  <c r="D44" i="9"/>
  <c r="D31" i="9" s="1"/>
  <c r="E302" i="14"/>
  <c r="B23" i="3"/>
  <c r="B24" i="3" s="1"/>
  <c r="D8" i="9"/>
  <c r="D63" i="12"/>
  <c r="E201" i="3"/>
  <c r="E202" i="3" s="1"/>
  <c r="B12" i="9" l="1"/>
  <c r="D47" i="9"/>
  <c r="D33" i="9" s="1"/>
  <c r="B79" i="12"/>
  <c r="A4" i="16"/>
  <c r="D64" i="12"/>
  <c r="D65" i="12" s="1"/>
  <c r="D9" i="9"/>
  <c r="D45" i="9"/>
  <c r="B14" i="9" l="1"/>
  <c r="D49" i="9"/>
  <c r="D53" i="9"/>
  <c r="D50" i="9"/>
  <c r="D52" i="9"/>
  <c r="D10" i="9"/>
  <c r="B81" i="12"/>
  <c r="D12" i="9"/>
  <c r="D48" i="9"/>
  <c r="D67" i="12"/>
  <c r="D68" i="12" s="1"/>
  <c r="E2" i="16"/>
  <c r="B80" i="12"/>
  <c r="B4" i="16"/>
  <c r="D17" i="9" l="1"/>
  <c r="D54" i="9"/>
  <c r="D72" i="12"/>
  <c r="D283" i="14"/>
  <c r="D69" i="12"/>
  <c r="D14" i="9"/>
  <c r="D280" i="14"/>
  <c r="D274" i="14"/>
  <c r="D275" i="14"/>
  <c r="D73" i="12"/>
  <c r="D18" i="9"/>
  <c r="D284" i="14"/>
  <c r="B83" i="12"/>
  <c r="C4" i="16"/>
  <c r="B84" i="12"/>
  <c r="D13" i="9"/>
  <c r="D70" i="12"/>
  <c r="D15" i="9"/>
  <c r="D281" i="14"/>
  <c r="D278" i="14"/>
  <c r="D55" i="9"/>
  <c r="D68" i="9" s="1"/>
  <c r="E17" i="9" s="1"/>
  <c r="D19" i="3" l="1"/>
  <c r="C329" i="14"/>
  <c r="D329" i="14"/>
  <c r="F19" i="3"/>
  <c r="E3" i="16" s="1"/>
  <c r="B85" i="12"/>
  <c r="D4" i="16"/>
  <c r="D69" i="9"/>
  <c r="E18" i="9" s="1"/>
  <c r="D74" i="12"/>
  <c r="D75" i="12" s="1"/>
  <c r="D16" i="3"/>
  <c r="D279" i="14"/>
  <c r="C326" i="14"/>
  <c r="D326" i="14"/>
  <c r="D327" i="14" s="1"/>
  <c r="F16" i="3"/>
  <c r="C3" i="16" s="1"/>
  <c r="D18" i="3"/>
  <c r="D328" i="14"/>
  <c r="C328" i="14"/>
  <c r="F18" i="3"/>
  <c r="D3" i="16" s="1"/>
  <c r="D21" i="3"/>
  <c r="D285" i="14"/>
  <c r="C331" i="14"/>
  <c r="D331" i="14"/>
  <c r="F21" i="3"/>
  <c r="F3" i="16" s="1"/>
  <c r="B88" i="12"/>
  <c r="F4" i="16"/>
  <c r="E4" i="16"/>
  <c r="B86" i="12"/>
  <c r="B89" i="12"/>
  <c r="G4" i="16"/>
  <c r="D12" i="3"/>
  <c r="D276" i="14"/>
  <c r="C322" i="14"/>
  <c r="D322" i="14"/>
  <c r="F12" i="3"/>
  <c r="A3" i="16" s="1"/>
  <c r="D65" i="9"/>
  <c r="E14" i="9" s="1"/>
  <c r="B91" i="12"/>
  <c r="D20" i="9"/>
  <c r="D71" i="9"/>
  <c r="E20" i="9" s="1"/>
  <c r="D59" i="9"/>
  <c r="E8" i="9" s="1"/>
  <c r="D60" i="9"/>
  <c r="E9" i="9" s="1"/>
  <c r="D61" i="9"/>
  <c r="E10" i="9" s="1"/>
  <c r="D63" i="9"/>
  <c r="E12" i="9" s="1"/>
  <c r="D22" i="3"/>
  <c r="C332" i="14"/>
  <c r="D332" i="14"/>
  <c r="F22" i="3"/>
  <c r="G3" i="16" s="1"/>
  <c r="D13" i="3"/>
  <c r="C323" i="14"/>
  <c r="D323" i="14"/>
  <c r="F13" i="3"/>
  <c r="B3" i="16" s="1"/>
  <c r="D19" i="9"/>
  <c r="B90" i="12"/>
  <c r="D70" i="9"/>
  <c r="E19" i="9" s="1"/>
  <c r="D64" i="9"/>
  <c r="E13" i="9" s="1"/>
  <c r="D66" i="9"/>
  <c r="E15" i="9" s="1"/>
  <c r="D333" i="14" l="1"/>
  <c r="D324" i="14"/>
  <c r="C333" i="14"/>
  <c r="B40" i="3"/>
  <c r="C40" i="3"/>
  <c r="D1" i="16"/>
  <c r="B101" i="12"/>
  <c r="B96" i="12"/>
  <c r="B1" i="16"/>
  <c r="B104" i="12"/>
  <c r="F1" i="16"/>
  <c r="C327" i="14"/>
  <c r="B36" i="3" s="1"/>
  <c r="B35" i="3"/>
  <c r="C35" i="3"/>
  <c r="C36" i="3" s="1"/>
  <c r="B102" i="12"/>
  <c r="E1" i="16"/>
  <c r="C324" i="14"/>
  <c r="B31" i="3"/>
  <c r="C31" i="3"/>
  <c r="D14" i="3"/>
  <c r="B97" i="12"/>
  <c r="D286" i="14"/>
  <c r="D308" i="14" s="1"/>
  <c r="E14" i="3" s="1"/>
  <c r="F14" i="3"/>
  <c r="D23" i="3"/>
  <c r="B106" i="12"/>
  <c r="F23" i="3"/>
  <c r="B99" i="12"/>
  <c r="C1" i="16"/>
  <c r="C32" i="3"/>
  <c r="B32" i="3"/>
  <c r="C41" i="3"/>
  <c r="B41" i="3"/>
  <c r="B95" i="12"/>
  <c r="A1" i="16"/>
  <c r="AF8" i="17" s="1"/>
  <c r="B105" i="12"/>
  <c r="G1" i="16"/>
  <c r="C37" i="3"/>
  <c r="B37" i="3"/>
  <c r="D17" i="3"/>
  <c r="B100" i="12"/>
  <c r="F17" i="3"/>
  <c r="C38" i="3"/>
  <c r="B38" i="3"/>
  <c r="D334" i="14" l="1"/>
  <c r="B42" i="3"/>
  <c r="D311" i="14"/>
  <c r="E17" i="3" s="1"/>
  <c r="D317" i="14"/>
  <c r="E23" i="3" s="1"/>
  <c r="C33" i="3"/>
  <c r="C334" i="14"/>
  <c r="B33" i="3"/>
  <c r="C42" i="3"/>
  <c r="D24" i="3"/>
  <c r="B107" i="12"/>
  <c r="D318" i="14"/>
  <c r="E24" i="3" s="1"/>
  <c r="F24" i="3"/>
  <c r="D315" i="14"/>
  <c r="E21" i="3" s="1"/>
  <c r="D306" i="14"/>
  <c r="E12" i="3" s="1"/>
  <c r="D313" i="14"/>
  <c r="E19" i="3" s="1"/>
  <c r="D307" i="14"/>
  <c r="E13" i="3" s="1"/>
  <c r="D312" i="14"/>
  <c r="E18" i="3" s="1"/>
  <c r="D310" i="14"/>
  <c r="E16" i="3" s="1"/>
  <c r="D316" i="14"/>
  <c r="E22" i="3" s="1"/>
  <c r="B43" i="3" l="1"/>
  <c r="C43" i="3"/>
</calcChain>
</file>

<file path=xl/comments1.xml><?xml version="1.0" encoding="utf-8"?>
<comments xmlns="http://schemas.openxmlformats.org/spreadsheetml/2006/main">
  <authors>
    <author>VISTA$</author>
  </authors>
  <commentList>
    <comment ref="A8" authorId="0" shapeId="0">
      <text>
        <r>
          <rPr>
            <b/>
            <sz val="8"/>
            <rFont val="Arial"/>
            <family val="2"/>
          </rPr>
          <t>Name of the company
(variable Company_Name)</t>
        </r>
      </text>
    </comment>
    <comment ref="A14" authorId="0" shapeId="0">
      <text>
        <r>
          <rPr>
            <b/>
            <sz val="8"/>
            <rFont val="Arial"/>
            <family val="2"/>
          </rPr>
          <t>Date of each investment round
(variable Event_Date_Sc0)</t>
        </r>
      </text>
    </comment>
    <comment ref="B22" authorId="0" shapeId="0">
      <text>
        <r>
          <rPr>
            <b/>
            <sz val="8"/>
            <rFont val="Arial"/>
            <family val="2"/>
          </rPr>
          <t>The discount percent on prevailing common share
price that accrue to holders of each series of
convertible security at the time of conversion or
exercise. This discount is a reward for investing
early when the risk was presumed higher.
(variable ConvNote_Discount_pct)</t>
        </r>
      </text>
    </comment>
    <comment ref="C22" authorId="0" shapeId="0">
      <text>
        <r>
          <rPr>
            <b/>
            <sz val="8"/>
            <rFont val="Arial"/>
            <family val="2"/>
          </rPr>
          <t>The multiple of new investment that is added to
liquidation preference for each class of security,
in each investment round
(variable Liq_Multiple)</t>
        </r>
      </text>
    </comment>
    <comment ref="D22" authorId="0" shapeId="0">
      <text>
        <r>
          <rPr>
            <b/>
            <sz val="8"/>
            <rFont val="Arial"/>
            <family val="2"/>
          </rPr>
          <t>Dividend rate for preferred stock, and interest
rate paid on convertible notes before conversion
(variable Dividend_pct_Yr)</t>
        </r>
      </text>
    </comment>
    <comment ref="B27" authorId="0" shapeId="0">
      <text>
        <r>
          <rPr>
            <b/>
            <sz val="8"/>
            <rFont val="Arial"/>
            <family val="2"/>
          </rPr>
          <t>Date at which securities can first be converted or
exercised to obtain common stock. A date beyond
the end of model time indicates that there is no
trigger date for conversion of the security.
(variable Convert_Trigger_Date)</t>
        </r>
      </text>
    </comment>
    <comment ref="C27" authorId="0" shapeId="0">
      <text>
        <r>
          <rPr>
            <b/>
            <sz val="8"/>
            <rFont val="Arial"/>
            <family val="2"/>
          </rPr>
          <t>Minimum amount of equity capital that the company
must raise before securities can be converted or
exercised to obtain common stock. An amount
greater than the capitalization of the company
indicates that the security cannot be converted
(or exercised).
(variable Convert_Trigger_Invest_Amt)</t>
        </r>
      </text>
    </comment>
    <comment ref="D27" authorId="0" shapeId="0">
      <text>
        <r>
          <rPr>
            <b/>
            <sz val="8"/>
            <rFont val="Arial"/>
            <family val="2"/>
          </rPr>
          <t>Maximum fraction of the value of a firm that can
be in senior securities in order that a series of
convertible securities converts. (Other conversion
criteria involve dates and minimum equity funding
raised by the company.)
(variable Convert_Trigger_Value_pct)</t>
        </r>
      </text>
    </comment>
    <comment ref="E27" authorId="0" shapeId="0">
      <text>
        <r>
          <rPr>
            <b/>
            <sz val="8"/>
            <rFont val="Arial"/>
            <family val="2"/>
          </rPr>
          <t>Conversion of securities to common stock must
produce this value premium over liquidation
preference, in order for the default conversion
condition to be satisfied. If &lt; 0, then the
company has the right to convert the security to
common stock when all the conditions are met.
(variable Convert_Liq_Premium_pct)</t>
        </r>
      </text>
    </comment>
    <comment ref="B32" authorId="0" shapeId="0">
      <text>
        <r>
          <rPr>
            <b/>
            <sz val="8"/>
            <rFont val="Arial"/>
            <family val="2"/>
          </rPr>
          <t>Annualized discount rates used in computation of
present values of investor cash flows
(variable Discount_Rate_Yr)</t>
        </r>
      </text>
    </comment>
    <comment ref="C32" authorId="0" shapeId="0">
      <text>
        <r>
          <rPr>
            <b/>
            <sz val="8"/>
            <rFont val="Arial"/>
            <family val="2"/>
          </rPr>
          <t>Initial guess at internal rate of return of the
cash flow for holders of each series and type of
security, to start the iterative solution for the
IRR
(variable IRR_Initial_Guess_Yr)</t>
        </r>
      </text>
    </comment>
    <comment ref="A37" authorId="0" shapeId="0">
      <text>
        <r>
          <rPr>
            <b/>
            <sz val="8"/>
            <rFont val="Arial"/>
            <family val="2"/>
          </rPr>
          <t>New investments due to sale of new convertible
notes, preferred and common shares, by investment
round; investment scenario 1. New warrants and
options are tracked in variable Shares_New because
they are specified by number of new shares, not
new investment.
(variable Investment_New_Sc0)</t>
        </r>
      </text>
    </comment>
    <comment ref="A49" authorId="0" shapeId="0">
      <text>
        <r>
          <rPr>
            <b/>
            <sz val="8"/>
            <rFont val="Arial"/>
            <family val="2"/>
          </rPr>
          <t>Price premium for a preferred share unit over
common stock at time of purchase. The premium
reflects the contingent value of preference
payments and preference dividends.
(variable Price_Premium_pct)</t>
        </r>
      </text>
    </comment>
    <comment ref="B52" authorId="0" shapeId="0">
      <text>
        <r>
          <rPr>
            <b/>
            <sz val="8"/>
            <rFont val="Arial"/>
            <family val="2"/>
          </rPr>
          <t>The multiple of new investment that is added to
liquidation preference for each class of security,
in each investment round
(variable Liq_Multiple)</t>
        </r>
      </text>
    </comment>
    <comment ref="C52" authorId="0" shapeId="0">
      <text>
        <r>
          <rPr>
            <b/>
            <sz val="8"/>
            <rFont val="Arial"/>
            <family val="2"/>
          </rPr>
          <t>Dividend rate for preferred stock, and interest
rate paid on convertible notes before conversion
(variable Dividend_pct_Yr)</t>
        </r>
      </text>
    </comment>
    <comment ref="B56" authorId="0" shapeId="0">
      <text>
        <r>
          <rPr>
            <b/>
            <sz val="8"/>
            <rFont val="Arial"/>
            <family val="2"/>
          </rPr>
          <t>Date at which securities can first be converted or
exercised to obtain common stock. A date beyond
the end of model time indicates that there is no
trigger date for conversion of the security.
(variable Convert_Trigger_Date)</t>
        </r>
      </text>
    </comment>
    <comment ref="C56" authorId="0" shapeId="0">
      <text>
        <r>
          <rPr>
            <b/>
            <sz val="8"/>
            <rFont val="Arial"/>
            <family val="2"/>
          </rPr>
          <t>Minimum amount of equity capital that the company
must raise before securities can be converted or
exercised to obtain common stock. An amount
greater than the capitalization of the company
indicates that the security cannot be converted
(or exercised).
(variable Convert_Trigger_Invest_Amt)</t>
        </r>
      </text>
    </comment>
    <comment ref="D56" authorId="0" shapeId="0">
      <text>
        <r>
          <rPr>
            <b/>
            <sz val="8"/>
            <rFont val="Arial"/>
            <family val="2"/>
          </rPr>
          <t>Maximum fraction of the value of a firm that can
be in senior securities in order that a series of
convertible securities converts. (Other conversion
criteria involve dates and minimum equity funding
raised by the company.)
(variable Convert_Trigger_Value_pct)</t>
        </r>
      </text>
    </comment>
    <comment ref="E56" authorId="0" shapeId="0">
      <text>
        <r>
          <rPr>
            <b/>
            <sz val="8"/>
            <rFont val="Arial"/>
            <family val="2"/>
          </rPr>
          <t>Conversion of securities to common stock must
produce this value premium over liquidation
preference, in order for the default conversion
condition to be satisfied. If &lt; 0, then the
company has the right to convert the security to
common stock when all the conditions are met.
(variable Convert_Liq_Premium_pct)</t>
        </r>
      </text>
    </comment>
    <comment ref="B60" authorId="0" shapeId="0">
      <text>
        <r>
          <rPr>
            <b/>
            <sz val="8"/>
            <rFont val="Arial"/>
            <family val="2"/>
          </rPr>
          <t>Annualized discount rates used in computation of
present values of investor cash flows
(variable Discount_Rate_Yr)</t>
        </r>
      </text>
    </comment>
    <comment ref="C60" authorId="0" shapeId="0">
      <text>
        <r>
          <rPr>
            <b/>
            <sz val="8"/>
            <rFont val="Arial"/>
            <family val="2"/>
          </rPr>
          <t>Initial guess at internal rate of return of the
cash flow for holders of each series and type of
security, to start the iterative solution for the
IRR
(variable IRR_Initial_Guess_Yr)</t>
        </r>
      </text>
    </comment>
    <comment ref="A64" authorId="0" shapeId="0">
      <text>
        <r>
          <rPr>
            <b/>
            <sz val="8"/>
            <rFont val="Arial"/>
            <family val="2"/>
          </rPr>
          <t>New investments due to sale of new convertible
notes, preferred and common shares, by investment
round; investment scenario 1. New warrants and
options are tracked in variable Shares_New because
they are specified by number of new shares, not
new investment.
(variable Investment_New_Sc0)</t>
        </r>
      </text>
    </comment>
    <comment ref="A71" authorId="0" shapeId="0">
      <text>
        <r>
          <rPr>
            <b/>
            <sz val="8"/>
            <rFont val="Arial"/>
            <family val="2"/>
          </rPr>
          <t>Initial common share price at the start of the
seed round
(variable Price_Common_Init)</t>
        </r>
      </text>
    </comment>
    <comment ref="A74" authorId="0" shapeId="0">
      <text>
        <r>
          <rPr>
            <b/>
            <sz val="8"/>
            <rFont val="Arial"/>
            <family val="2"/>
          </rPr>
          <t>Factor by which common shares are split before the
start of each investment round
(variable Split_Factor_Start)</t>
        </r>
      </text>
    </comment>
    <comment ref="A76" authorId="0" shapeId="0">
      <text>
        <r>
          <rPr>
            <b/>
            <sz val="8"/>
            <rFont val="Arial"/>
            <family val="2"/>
          </rPr>
          <t>Dividend paid on common stock, paid at the
beginning of each investment round
(variable Dividend_Common)</t>
        </r>
      </text>
    </comment>
    <comment ref="B79" authorId="0" shapeId="0">
      <text>
        <r>
          <rPr>
            <b/>
            <sz val="8"/>
            <rFont val="Arial"/>
            <family val="2"/>
          </rPr>
          <t>Annualized discount rates used in computation of
present values of investor cash flows
(variable Discount_Rate_Yr)</t>
        </r>
      </text>
    </comment>
    <comment ref="C79" authorId="0" shapeId="0">
      <text>
        <r>
          <rPr>
            <b/>
            <sz val="8"/>
            <rFont val="Arial"/>
            <family val="2"/>
          </rPr>
          <t>Initial guess at internal rate of return of the
cash flow for holders of each series and type of
security, to start the iterative solution for the
IRR
(variable IRR_Initial_Guess_Yr)</t>
        </r>
      </text>
    </comment>
    <comment ref="A83" authorId="0" shapeId="0">
      <text>
        <r>
          <rPr>
            <b/>
            <sz val="8"/>
            <rFont val="Arial"/>
            <family val="2"/>
          </rPr>
          <t>New investments due to sale of new convertible
notes, preferred and common shares, by investment
round; investment scenario 1. New warrants and
options are tracked in variable Shares_New because
they are specified by number of new shares, not
new investment.
(variable Investment_New_Sc0)</t>
        </r>
      </text>
    </comment>
    <comment ref="A90" authorId="0" shapeId="0">
      <text>
        <r>
          <rPr>
            <b/>
            <sz val="8"/>
            <rFont val="Arial"/>
            <family val="2"/>
          </rPr>
          <t>Ratio (price at which new units are purchased) /
(common share price - exercise price).
(variable Price_Unit_New_pct)</t>
        </r>
      </text>
    </comment>
    <comment ref="A95" authorId="0" shapeId="0">
      <text>
        <r>
          <rPr>
            <b/>
            <sz val="8"/>
            <rFont val="Arial"/>
            <family val="2"/>
          </rPr>
          <t>Price at which new warrants and options are
purchased. Warrant and option prices are based on
current stock price, ignoring the variance of
stock price over time.
(variable Price_Unit_New)</t>
        </r>
      </text>
    </comment>
    <comment ref="B100" authorId="0" shapeId="0">
      <text>
        <r>
          <rPr>
            <b/>
            <sz val="8"/>
            <rFont val="Arial"/>
            <family val="2"/>
          </rPr>
          <t>Exercise price for each class of stock option.
Upon exercise of a warrant or option, the holder
pays the exercise price to the company in cash,
which amount is added to Investment by Origin for
the warrant or option, and added to Net Investment
for common stock.
(variable OptionWar_Exercise_Price)</t>
        </r>
      </text>
    </comment>
    <comment ref="C100" authorId="0" shapeId="0">
      <text>
        <r>
          <rPr>
            <b/>
            <sz val="8"/>
            <rFont val="Arial"/>
            <family val="2"/>
          </rPr>
          <t>Date at which securities can first be converted or
exercised to obtain common stock. A date beyond
the end of model time indicates that there is no
trigger date for conversion of the security.
(variable Convert_Trigger_Date)</t>
        </r>
      </text>
    </comment>
    <comment ref="D100" authorId="0" shapeId="0">
      <text>
        <r>
          <rPr>
            <b/>
            <sz val="8"/>
            <rFont val="Arial"/>
            <family val="2"/>
          </rPr>
          <t>Minimum amount of equity capital that the company
must raise before securities can be converted or
exercised to obtain common stock. An amount
greater than the capitalization of the company
indicates that the security cannot be converted
(or exercised).
(variable Convert_Trigger_Invest_Amt)</t>
        </r>
      </text>
    </comment>
    <comment ref="E100" authorId="0" shapeId="0">
      <text>
        <r>
          <rPr>
            <b/>
            <sz val="8"/>
            <rFont val="Arial"/>
            <family val="2"/>
          </rPr>
          <t>Maximum fraction of the value of a firm that can
be in senior securities in order that a series of
convertible securities converts. (Other conversion
criteria involve dates and minimum equity funding
raised by the company.)
(variable Convert_Trigger_Value_pct)</t>
        </r>
      </text>
    </comment>
    <comment ref="B106" authorId="0" shapeId="0">
      <text>
        <r>
          <rPr>
            <b/>
            <sz val="8"/>
            <rFont val="Arial"/>
            <family val="2"/>
          </rPr>
          <t>Annualized discount rates used in computation of
present values of investor cash flows
(variable Discount_Rate_Yr)</t>
        </r>
      </text>
    </comment>
    <comment ref="C106" authorId="0" shapeId="0">
      <text>
        <r>
          <rPr>
            <b/>
            <sz val="8"/>
            <rFont val="Arial"/>
            <family val="2"/>
          </rPr>
          <t>Initial guess at internal rate of return of the
cash flow for holders of each series and type of
security, to start the iterative solution for the
IRR
(variable IRR_Initial_Guess_Yr)</t>
        </r>
      </text>
    </comment>
    <comment ref="A111" authorId="0" shapeId="0">
      <text>
        <r>
          <rPr>
            <b/>
            <sz val="8"/>
            <rFont val="Arial"/>
            <family val="2"/>
          </rPr>
          <t>Numbers of new warrants and options sold, by
investment round, for investment scenario 1. Sales
of new convertible notes, preferred stock and
common stock are input as new investment, from
which new shares are computed.
(variable Units_New_Sc0)</t>
        </r>
      </text>
    </comment>
    <comment ref="A120" authorId="0" shapeId="0">
      <text>
        <r>
          <rPr>
            <b/>
            <sz val="8"/>
            <rFont val="Arial"/>
            <family val="2"/>
          </rPr>
          <t>Valuation of the firm at the start of each
investment round
(variable Firm_Value_Start_Sc0)</t>
        </r>
      </text>
    </comment>
  </commentList>
</comments>
</file>

<file path=xl/comments10.xml><?xml version="1.0" encoding="utf-8"?>
<comments xmlns="http://schemas.openxmlformats.org/spreadsheetml/2006/main">
  <authors>
    <author>VISTA$</author>
  </authors>
  <commentList>
    <comment ref="A7" authorId="0" shapeId="0">
      <text>
        <r>
          <rPr>
            <b/>
            <sz val="8"/>
            <rFont val="Arial"/>
            <family val="2"/>
          </rPr>
          <t>The discount percent on prevailing common share
price that accrue to holders of each series of
convertible security at the time of conversion or
exercise. This discount is a reward for investing
early when the risk was presumed higher.
(variable ConvNote_Discount_pct)</t>
        </r>
      </text>
    </comment>
    <comment ref="C7" authorId="0" shapeId="0">
      <text>
        <r>
          <rPr>
            <b/>
            <sz val="8"/>
            <rFont val="Arial"/>
            <family val="2"/>
          </rPr>
          <t>Date at which securities can first be converted or
exercised to obtain common stock. A date beyond
the end of model time indicates that there is no
trigger date for conversion of the security.
(variable Convert_Trigger_Date)</t>
        </r>
      </text>
    </comment>
    <comment ref="E7" authorId="0" shapeId="0">
      <text>
        <r>
          <rPr>
            <b/>
            <sz val="8"/>
            <rFont val="Arial"/>
            <family val="2"/>
          </rPr>
          <t>Minimum amount of equity capital that the company
must raise before securities can be converted or
exercised to obtain common stock. An amount
greater than the capitalization of the company
indicates that the security cannot be converted
(or exercised).
(variable Convert_Trigger_Invest_Amt)</t>
        </r>
      </text>
    </comment>
    <comment ref="G7" authorId="0" shapeId="0">
      <text>
        <r>
          <rPr>
            <b/>
            <sz val="8"/>
            <rFont val="Arial"/>
            <family val="2"/>
          </rPr>
          <t>Maximum fraction of the value of a firm that can
be in senior securities in order that a series of
convertible securities converts. (Other conversion
criteria involve dates and minimum equity funding
raised by the company.)
(variable Convert_Trigger_Value_pct)</t>
        </r>
      </text>
    </comment>
    <comment ref="A19" authorId="0" shapeId="0">
      <text>
        <r>
          <rPr>
            <b/>
            <sz val="8"/>
            <rFont val="Arial"/>
            <family val="2"/>
          </rPr>
          <t>Dividend rate for preferred stock, and interest
rate paid on convertible notes before conversion
(variable Dividend_pct_Yr)</t>
        </r>
      </text>
    </comment>
    <comment ref="C19" authorId="0" shapeId="0">
      <text>
        <r>
          <rPr>
            <b/>
            <sz val="8"/>
            <rFont val="Arial"/>
            <family val="2"/>
          </rPr>
          <t>Ratio (price at which new units are purchased) /
(common share price - exercise price).
(variable Price_Unit_New_pct)</t>
        </r>
      </text>
    </comment>
    <comment ref="E19" authorId="0" shapeId="0">
      <text>
        <r>
          <rPr>
            <b/>
            <sz val="8"/>
            <rFont val="Arial"/>
            <family val="2"/>
          </rPr>
          <t>The multiple of new investment that is added to
liquidation preference for each class of security,
in each investment round
(variable Liq_Multiple)</t>
        </r>
      </text>
    </comment>
    <comment ref="G19" authorId="0" shapeId="0">
      <text>
        <r>
          <rPr>
            <b/>
            <sz val="8"/>
            <rFont val="Arial"/>
            <family val="2"/>
          </rPr>
          <t>Conversion of securities to common stock must
produce this value premium over liquidation
preference, in order for the default conversion
condition to be satisfied. If &lt; 0, then the
company has the right to convert the security to
common stock when all the conditions are met.
(variable Convert_Liq_Premium_pct)</t>
        </r>
      </text>
    </comment>
    <comment ref="A33" authorId="0" shapeId="0">
      <text>
        <r>
          <rPr>
            <b/>
            <sz val="8"/>
            <rFont val="Arial"/>
            <family val="2"/>
          </rPr>
          <t>Price premium for a preferred share unit over
common stock at time of purchase. The premium
reflects the contingent value of preference
payments and preference dividends.
(variable Price_Premium_pct)</t>
        </r>
      </text>
    </comment>
    <comment ref="A45" authorId="0" shapeId="0">
      <text>
        <r>
          <rPr>
            <b/>
            <sz val="8"/>
            <rFont val="Arial"/>
            <family val="2"/>
          </rPr>
          <t>New investments due to sale of new convertible
notes, preferred and common shares, by investment
round; investment scenario 1. New warrants and
options are tracked in variable Shares_New because
they are specified by number of new shares, not
new investment.
(variable Investment_New_Sc0)</t>
        </r>
      </text>
    </comment>
    <comment ref="A61" authorId="0" shapeId="0">
      <text>
        <r>
          <rPr>
            <b/>
            <sz val="8"/>
            <rFont val="Arial"/>
            <family val="2"/>
          </rPr>
          <t>Numbers of new warrants and options sold, by
investment round, for investment scenario 1. Sales
of new convertible notes, preferred stock and
common stock are input as new investment, from
which new shares are computed.
(variable Units_New_Sc0)</t>
        </r>
      </text>
    </comment>
    <comment ref="A78" authorId="0" shapeId="0">
      <text>
        <r>
          <rPr>
            <b/>
            <sz val="8"/>
            <rFont val="Arial"/>
            <family val="2"/>
          </rPr>
          <t>Initial guess at internal rate of return of the
cash flow for holders of each series and type of
security, to start the iterative solution for the
IRR
(variable IRR_Initial_Guess_Yr)</t>
        </r>
      </text>
    </comment>
  </commentList>
</comments>
</file>

<file path=xl/comments11.xml><?xml version="1.0" encoding="utf-8"?>
<comments xmlns="http://schemas.openxmlformats.org/spreadsheetml/2006/main">
  <authors>
    <author>VISTA$</author>
  </authors>
  <commentList>
    <comment ref="A6" authorId="0" shapeId="0">
      <text>
        <r>
          <rPr>
            <b/>
            <sz val="8"/>
            <rFont val="Arial"/>
            <family val="2"/>
          </rPr>
          <t>Types of securities, used for plotting
(variable Securities_plt)</t>
        </r>
      </text>
    </comment>
    <comment ref="D6" authorId="0" shapeId="0">
      <text>
        <r>
          <rPr>
            <b/>
            <sz val="8"/>
            <rFont val="Arial"/>
            <family val="2"/>
          </rPr>
          <t>Investment rounds, used for plotting
(variable Rounds_plt)</t>
        </r>
      </text>
    </comment>
    <comment ref="B18" authorId="0" shapeId="0">
      <text>
        <r>
          <rPr>
            <b/>
            <sz val="8"/>
            <rFont val="Arial"/>
            <family val="2"/>
          </rPr>
          <t>Net new investment in each investment round,
segmented by type of security. Used in plots.
(variable Investment_Net_New_plt)</t>
        </r>
      </text>
    </comment>
    <comment ref="C18" authorId="0" shapeId="0">
      <text>
        <r>
          <rPr>
            <b/>
            <sz val="8"/>
            <rFont val="Arial"/>
            <family val="2"/>
          </rPr>
          <t>Net investment at the end of each investment
round, segmented by type of security. Used in
plots.
(variable Investment_Net_End_plt)</t>
        </r>
      </text>
    </comment>
    <comment ref="A24" authorId="0" shapeId="0">
      <text>
        <r>
          <rPr>
            <b/>
            <sz val="8"/>
            <rFont val="Arial"/>
            <family val="2"/>
          </rPr>
          <t>Cumulative gross investment in convertible notes,
for each investment round. Used for plotting.
(variable Invest_by_Origin_Conv_plt)</t>
        </r>
      </text>
    </comment>
    <comment ref="D24" authorId="0" shapeId="0">
      <text>
        <r>
          <rPr>
            <b/>
            <sz val="8"/>
            <rFont val="Arial"/>
            <family val="2"/>
          </rPr>
          <t>Cumulative gross investment held in convertible
notes, for each investment round. Used for
plotting.
(variable Invest_End_Conv_plt)</t>
        </r>
      </text>
    </comment>
    <comment ref="A29" authorId="0" shapeId="0">
      <text>
        <r>
          <rPr>
            <b/>
            <sz val="8"/>
            <rFont val="Arial"/>
            <family val="2"/>
          </rPr>
          <t>Cumulative gross investment in preferred stock,
for each investment round. Includes dividends.
Used for plotting.
(variable Invest_by_Origin_Preferred_plt)</t>
        </r>
      </text>
    </comment>
    <comment ref="D29" authorId="0" shapeId="0">
      <text>
        <r>
          <rPr>
            <b/>
            <sz val="8"/>
            <rFont val="Arial"/>
            <family val="2"/>
          </rPr>
          <t>Cumulative gross investment held in preferred
stock at the end of each investment round.
Includes dividends. Used for plotting.
(variable Invest_End_Preferred_plt)</t>
        </r>
      </text>
    </comment>
    <comment ref="A34" authorId="0" shapeId="0">
      <text>
        <r>
          <rPr>
            <b/>
            <sz val="8"/>
            <rFont val="Arial"/>
            <family val="2"/>
          </rPr>
          <t>Cumulative gross investment in common stock, for
each investment round. Includes dividends. Used
for plotting.
(variable Invest_by_Origin_Common_plt)</t>
        </r>
      </text>
    </comment>
    <comment ref="D34" authorId="0" shapeId="0">
      <text>
        <r>
          <rPr>
            <b/>
            <sz val="8"/>
            <rFont val="Arial"/>
            <family val="2"/>
          </rPr>
          <t>Cumulative gross investment in common stock held
at the end of each investment round. Includes
dividends. Used for plotting.
(variable Invest_End_Common_plt)</t>
        </r>
      </text>
    </comment>
    <comment ref="A39" authorId="0" shapeId="0">
      <text>
        <r>
          <rPr>
            <b/>
            <sz val="8"/>
            <rFont val="Arial"/>
            <family val="2"/>
          </rPr>
          <t>Cumulative gross investment in warrants, for each
investment round. Used for plotting.
(variable Invest_by_Origin_War_plt)</t>
        </r>
      </text>
    </comment>
    <comment ref="D39" authorId="0" shapeId="0">
      <text>
        <r>
          <rPr>
            <b/>
            <sz val="8"/>
            <rFont val="Arial"/>
            <family val="2"/>
          </rPr>
          <t>Cumulative gross investment held in warrants at
the end of each investment round. Includes
dividends. Used for plotting.
(variable Invest_End_War_plt)</t>
        </r>
      </text>
    </comment>
    <comment ref="A44" authorId="0" shapeId="0">
      <text>
        <r>
          <rPr>
            <b/>
            <sz val="8"/>
            <rFont val="Arial"/>
            <family val="2"/>
          </rPr>
          <t>Cumulative gross investment in options, for each
investment round. Used for plotting.
(variable Invest_by_Origin_Opt_plt)</t>
        </r>
      </text>
    </comment>
    <comment ref="D44" authorId="0" shapeId="0">
      <text>
        <r>
          <rPr>
            <b/>
            <sz val="8"/>
            <rFont val="Arial"/>
            <family val="2"/>
          </rPr>
          <t>Cumulative gross investment in options held at the
end of each investment round. Used for plotting.
(variable Invest_End_Opt_plt)</t>
        </r>
      </text>
    </comment>
    <comment ref="A49" authorId="0" shapeId="0">
      <text>
        <r>
          <rPr>
            <b/>
            <sz val="8"/>
            <rFont val="Arial"/>
            <family val="2"/>
          </rPr>
          <t>Valuation of the firm at the start of each
investment round
(variable Firm_Value_Start)</t>
        </r>
      </text>
    </comment>
    <comment ref="A55" authorId="0" shapeId="0">
      <text>
        <r>
          <rPr>
            <b/>
            <sz val="8"/>
            <rFont val="Arial"/>
            <family val="2"/>
          </rPr>
          <t>Firm value at End of each investment round. Used
in plotting.
(variable Firm_Value_End)</t>
        </r>
      </text>
    </comment>
    <comment ref="A61" authorId="0" shapeId="0">
      <text>
        <r>
          <rPr>
            <b/>
            <sz val="8"/>
            <rFont val="Arial"/>
            <family val="2"/>
          </rPr>
          <t>The amount of funds that would be paid to each
type of security if liquidation occurs at the end
of an investment round. Warrants and options are
exercised if they are in the money. The common
payout pool covers common shares, including
exercised warrants and options.
(variable Payout_End)</t>
        </r>
      </text>
    </comment>
    <comment ref="A77" authorId="0" shapeId="0">
      <text>
        <r>
          <rPr>
            <b/>
            <sz val="8"/>
            <rFont val="Arial"/>
            <family val="2"/>
          </rPr>
          <t>The amount of funds that would be paid to each
type of security if liquidation occurs at the end
of the last investment round. Warrants and options
are exercised if they are in the money. The common
payout pool covers common shares, including
exercised warrants and options.
(variable Payout_EndLast)</t>
        </r>
      </text>
    </comment>
    <comment ref="A93" authorId="0" shapeId="0">
      <text>
        <r>
          <rPr>
            <b/>
            <sz val="8"/>
            <rFont val="Arial"/>
            <family val="2"/>
          </rPr>
          <t>Funds paid out that are imputed (if paid) to
original investments in each type of security, at
the end of the last investment round. Warrants and
options are exercised if they are in the money.
The common payout pool covers common shares,
including exercised warrants and options.
(variable Payout_by_Origin_Last)</t>
        </r>
      </text>
    </comment>
  </commentList>
</comments>
</file>

<file path=xl/comments12.xml><?xml version="1.0" encoding="utf-8"?>
<comments xmlns="http://schemas.openxmlformats.org/spreadsheetml/2006/main">
  <authors>
    <author>VISTA$</author>
  </authors>
  <commentList>
    <comment ref="A4" authorId="0" shapeId="0">
      <text>
        <r>
          <rPr>
            <b/>
            <sz val="8"/>
            <rFont val="Arial"/>
            <family val="2"/>
          </rPr>
          <t>Exercise price for each class of stock option.
Upon exercise of a warrant or option, the holder
pays the exercise price to the company in cash,
which amount is added to Investment by Origin for
the warrant or option, and added to Net Investment
for common stock.
(variable OptionWar_Exercise_Price)</t>
        </r>
      </text>
    </comment>
    <comment ref="A16" authorId="0" shapeId="0">
      <text>
        <r>
          <rPr>
            <b/>
            <sz val="8"/>
            <rFont val="Arial"/>
            <family val="2"/>
          </rPr>
          <t>The price of each type of security at the start of
each investment round. Prices for sale of new
securities in general differ from prices for
conversion or exercise of securities in
transactions at a later phase. These prices for
unexercised options do not account for effects of
stock volatility etc. in option pricing models. 
(variable Price_Unit_Start)</t>
        </r>
      </text>
    </comment>
    <comment ref="A32" authorId="0" shapeId="0">
      <text>
        <r>
          <rPr>
            <b/>
            <sz val="8"/>
            <rFont val="Arial"/>
            <family val="2"/>
          </rPr>
          <t>The amount of exercise payments due upon exercise
of outstanding warrants and options. For Phase
Convert, the amount of exercise payments made to
exercise warrants and options in each round.
(variable OptionWar_Exercise_Amt)</t>
        </r>
      </text>
    </comment>
    <comment ref="A109" authorId="0" shapeId="0">
      <text>
        <r>
          <rPr>
            <b/>
            <sz val="8"/>
            <rFont val="Arial"/>
            <family val="2"/>
          </rPr>
          <t>Numbers of new warrants and options sold, by
investment round. Sales of new convertible notes,
preferred stock and common stock are input as new
investment, from which new shares are computed.
(variable Units_New)</t>
        </r>
      </text>
    </comment>
    <comment ref="A125" authorId="0" shapeId="0">
      <text>
        <r>
          <rPr>
            <b/>
            <sz val="8"/>
            <rFont val="Arial"/>
            <family val="2"/>
          </rPr>
          <t>The default conversion decision for each security
is positive (negative) if all these built-in
conditions are satisfied (not satisfied).
1) The date of the current round has reached the
trigger date
2) The sum of investments in common, preferred
and notes exceeds the trigger investment
threshhold
3) For notes and preferred: the value of the
company exceeds a safety criterion (investment in
notes + preferred must be less than a stated
fraction of firm value).
4) For notes and preferred: value of commmon
shares obtained &gt; (1+premium) * liquidation
preference.
5) For warrants and options: common share price
&gt;= exercise price.
The cell values have these meanings:
+1: conversion condition is satisfied
0 : conversion condition is not satisfied
-1: means conversion condition is not relevant
You can override these conversion decisions by
entering values in variable 'Converting %'.
(variable Conversion_Decisions_Detail)</t>
        </r>
      </text>
    </comment>
    <comment ref="A172" authorId="0" shapeId="0">
      <text>
        <r>
          <rPr>
            <b/>
            <sz val="8"/>
            <rFont val="Arial"/>
            <family val="2"/>
          </rPr>
          <t>Price at which securities convert to common stock
in each investment round. Conversion occurs after
sale of new securities in each round. Conversion
prices in general differ from prices for sale of
new securities in an earlier phase.
* Conversion price of notes is common share price
less a discount percent specified by the note.
* Conversion price of preferred shares is common
share price plus a specified preferred share price
premium.
* Conversion price of common shares is the
current common share price after completion of
sale of new securities
(variable Price_Unit_Conv)</t>
        </r>
      </text>
    </comment>
    <comment ref="A188" authorId="0" shapeId="0">
      <text>
        <r>
          <rPr>
            <b/>
            <sz val="8"/>
            <rFont val="Arial"/>
            <family val="2"/>
          </rPr>
          <t>Firm value at phases Start, Post Sales, and End;
and change in firm value at phases New Sales and
Convert, for each investment round. A new
investment (including paying the exercise price to
exercise a warrant or option) increases the value
of the firm by the amount of the new investment.
(variable Firm_Value)</t>
        </r>
      </text>
    </comment>
    <comment ref="A195" authorId="0" shapeId="0">
      <text>
        <r>
          <rPr>
            <b/>
            <sz val="8"/>
            <rFont val="Arial"/>
            <family val="2"/>
          </rPr>
          <t>The amount of liquidiation preference that is due
to each class of security (before anything is paid
to holders of junior securities, in the event of
liquidiation), at the last phase (End) of each
round
(variable Liq_Preference_End)</t>
        </r>
      </text>
    </comment>
    <comment ref="A211" authorId="0" shapeId="0">
      <text>
        <r>
          <rPr>
            <b/>
            <sz val="8"/>
            <rFont val="Arial"/>
            <family val="2"/>
          </rPr>
          <t>The amount of new liquidiation preference that is
due to each class of security (before anything is
paid to holders of junior securities, in the event
of liquidiation), at the last phase (End) of each
round
(variable Liq_Preference_New)</t>
        </r>
      </text>
    </comment>
    <comment ref="A227" authorId="0" shapeId="0">
      <text>
        <r>
          <rPr>
            <b/>
            <sz val="8"/>
            <rFont val="Arial"/>
            <family val="2"/>
          </rPr>
          <t>New investments due to sale of new convertible
notes, preferred and common shares, by investment
round. New warrants and options are tracked in
variable Shares_New because they are specified by
number of new shares, not new investment.
(variable Investment_New)</t>
        </r>
      </text>
    </comment>
    <comment ref="A243" authorId="0" shapeId="0">
      <text>
        <r>
          <rPr>
            <b/>
            <sz val="8"/>
            <rFont val="Arial"/>
            <family val="2"/>
          </rPr>
          <t>Dividend in kind for convertible notes (before
conversion), preferred stock (before conversion),
and common stock, paid at start of each investment
round. The dividends are segmented by the original
type and series of security whose purchase earned
the dividend (not by the current type and series
of security that earned the dividend).
(variable Dividend_by_Origin)</t>
        </r>
      </text>
    </comment>
    <comment ref="A259" authorId="0" shapeId="0">
      <text>
        <r>
          <rPr>
            <b/>
            <sz val="8"/>
            <rFont val="Arial"/>
            <family val="2"/>
          </rPr>
          <t>Number of common shares that originated from
conversion or exercise of each type of security or
sale of common shares, recorded at the end of each
investment round
(variable Shares_Common_by_Origin)</t>
        </r>
      </text>
    </comment>
    <comment ref="A271" authorId="0" shapeId="0">
      <text>
        <r>
          <rPr>
            <b/>
            <sz val="8"/>
            <rFont val="Arial"/>
            <family val="2"/>
          </rPr>
          <t>Funds paid out that are imputed (if paid) to
original investments in each type of security, at
the end of each investment round. Warrants and
options are exercised if they are in the money.
The common payout pool covers common shares,
including exercised warrants and options.
(variable Payout_by_Origin)</t>
        </r>
      </text>
    </comment>
    <comment ref="A287" authorId="0" shapeId="0">
      <text>
        <r>
          <rPr>
            <b/>
            <sz val="8"/>
            <rFont val="Arial"/>
            <family val="2"/>
          </rPr>
          <t>Number of unexercised warrants and options that
are in the money in phase End, for each investment
round. Used in variable Payout in denominators of
formulas.
(variable OptionWar_in_Money)</t>
        </r>
      </text>
    </comment>
    <comment ref="A303" authorId="0" shapeId="0">
      <text>
        <r>
          <rPr>
            <b/>
            <sz val="8"/>
            <rFont val="Arial"/>
            <family val="2"/>
          </rPr>
          <t>The percentage of funds paid out that are imputed
(if paid) to original investments in each type of
security, at the end of each investment round.
Warrants and options are exercised if they are in
the money. The common payout pool covers common
shares, including exercised warrants and options.
(variable Payout_by_Origin_pct)</t>
        </r>
      </text>
    </comment>
    <comment ref="A319" authorId="0" shapeId="0">
      <text>
        <r>
          <rPr>
            <b/>
            <sz val="8"/>
            <rFont val="Arial"/>
            <family val="2"/>
          </rPr>
          <t>Cash flows used to compute present values and
internal rates of return for each series and type
of security. Includes founders non-cash
contributions in the first round and payouts in
the last round.
(variable IRR_Cash_Flow)</t>
        </r>
      </text>
    </comment>
    <comment ref="D322" authorId="0" shapeId="0">
      <text>
        <r>
          <rPr>
            <b/>
            <sz val="8"/>
            <rFont val="Arial"/>
            <family val="2"/>
          </rPr>
          <t>There are errors in the formula:
Investment!D68+Investment!D98+0-if(iserror(#REF!),
D274, 0)
Investment_by_Origin[Securities.Conv_Note.Series_B,
Rounds.Exit,
Phases.New_Sales]+Investment_by_Origin[Securities.Conv_Note.Series_B,
Rounds.Exit, Phases.Convert]+0-if(iserror({#ERR
Error: Dimension item index out of range
while evaling:
IRR_Cash_Flow[Securities.Conv_Note.Series_B,
Rounds.Exit]:
}), Payout_by_Origin[Securities.Conv_Note.Series_B,
Rounds.Exit], 0)</t>
        </r>
      </text>
    </comment>
    <comment ref="D323" authorId="0" shapeId="0">
      <text>
        <r>
          <rPr>
            <b/>
            <sz val="8"/>
            <rFont val="Arial"/>
            <family val="2"/>
          </rPr>
          <t>There are errors in the formula:
Investment!D69+Investment!D99+0-if(iserror(#REF!),
D275, 0)
Investment_by_Origin[Securities.Conv_Note.Series_A,
Rounds.Exit,
Phases.New_Sales]+Investment_by_Origin[Securities.Conv_Note.Series_A,
Rounds.Exit, Phases.Convert]+0-if(iserror({#ERR
Error: Dimension item index out of range
while evaling:
IRR_Cash_Flow[Securities.Conv_Note.Series_A,
Rounds.Exit]:
}), Payout_by_Origin[Securities.Conv_Note.Series_A,
Rounds.Exit], 0)</t>
        </r>
      </text>
    </comment>
    <comment ref="D326" authorId="0" shapeId="0">
      <text>
        <r>
          <rPr>
            <b/>
            <sz val="8"/>
            <rFont val="Arial"/>
            <family val="2"/>
          </rPr>
          <t>There are errors in the formula:
Investment!D72+Investment!D102+0-if(iserror(#REF!),
D278, 0)
Investment_by_Origin[Securities.Preferred.Series_A,
Rounds.Exit,
Phases.New_Sales]+Investment_by_Origin[Securities.Preferred.Series_A,
Rounds.Exit, Phases.Convert]+0-if(iserror({#ERR
Error: Dimension item index out of range
while evaling:
IRR_Cash_Flow[Securities.Preferred.Series_A,
Rounds.Exit]:
}), Payout_by_Origin[Securities.Preferred.Series_A,
Rounds.Exit], 0)</t>
        </r>
      </text>
    </comment>
    <comment ref="D328" authorId="0" shapeId="0">
      <text>
        <r>
          <rPr>
            <b/>
            <sz val="8"/>
            <rFont val="Arial"/>
            <family val="2"/>
          </rPr>
          <t>There are errors in the formula:
Investment!D74+Investment!D104+0-if(iserror(#REF!),
D280, 0)
Investment_by_Origin[Securities.Common,
Rounds.Exit,
Phases.New_Sales]+Investment_by_Origin[Securities.Common,
Rounds.Exit, Phases.Convert]+0-if(iserror({#ERR
Error: Dimension item index out of range
while evaling: IRR_Cash_Flow[Securities.Common,
Rounds.Exit]:
}), Payout_by_Origin[Securities.Common,
Rounds.Exit], 0)</t>
        </r>
      </text>
    </comment>
    <comment ref="D329" authorId="0" shapeId="0">
      <text>
        <r>
          <rPr>
            <b/>
            <sz val="8"/>
            <rFont val="Arial"/>
            <family val="2"/>
          </rPr>
          <t>There are errors in the formula:
Investment!D75+Investment!D105+0-if(iserror(#REF!),
D281, 0)
Investment_by_Origin[Securities.Warrant,
Rounds.Exit,
Phases.New_Sales]+Investment_by_Origin[Securities.Warrant,
Rounds.Exit, Phases.Convert]+0-if(iserror({#ERR
Error: Dimension item index out of range
while evaling: IRR_Cash_Flow[Securities.Warrant,
Rounds.Exit]:
}), Payout_by_Origin[Securities.Warrant,
Rounds.Exit], 0)</t>
        </r>
      </text>
    </comment>
    <comment ref="D331" authorId="0" shapeId="0">
      <text>
        <r>
          <rPr>
            <b/>
            <sz val="8"/>
            <rFont val="Arial"/>
            <family val="2"/>
          </rPr>
          <t>There are errors in the formula:
Investment!D77+Investment!D107+0-if(iserror(#REF!),
D283, 0)
Investment_by_Origin[Securities.Option.Series_B,
Rounds.Exit,
Phases.New_Sales]+Investment_by_Origin[Securities.Option.Series_B,
Rounds.Exit, Phases.Convert]+0-if(iserror({#ERR
Error: Dimension item index out of range
while evaling:
IRR_Cash_Flow[Securities.Option.Series_B,
Rounds.Exit]:
}), Payout_by_Origin[Securities.Option.Series_B,
Rounds.Exit], 0)</t>
        </r>
      </text>
    </comment>
    <comment ref="D332" authorId="0" shapeId="0">
      <text>
        <r>
          <rPr>
            <b/>
            <sz val="8"/>
            <rFont val="Arial"/>
            <family val="2"/>
          </rPr>
          <t>There are errors in the formula:
Investment!D78+Investment!D108+0-if(iserror(#REF!),
D284, 0)
Investment_by_Origin[Securities.Option.Series_A,
Rounds.Exit,
Phases.New_Sales]+Investment_by_Origin[Securities.Option.Series_A,
Rounds.Exit, Phases.Convert]+0-if(iserror({#ERR
Error: Dimension item index out of range
while evaling:
IRR_Cash_Flow[Securities.Option.Series_A,
Rounds.Exit]:
}), Payout_by_Origin[Securities.Option.Series_A,
Rounds.Exit], 0)</t>
        </r>
      </text>
    </comment>
  </commentList>
</comments>
</file>

<file path=xl/comments2.xml><?xml version="1.0" encoding="utf-8"?>
<comments xmlns="http://schemas.openxmlformats.org/spreadsheetml/2006/main">
  <authors>
    <author>VISTA$</author>
  </authors>
  <commentList>
    <comment ref="B10" authorId="0" shapeId="0">
      <text>
        <r>
          <rPr>
            <b/>
            <sz val="8"/>
            <rFont val="Arial"/>
            <family val="2"/>
          </rPr>
          <t>Gross investment including value of converted
securities, and excluding preferred dividends and
interest payments on notes, segmented by type of
security, by investment round
(variable Invest_by_Origin_exDiv_LastRnd)</t>
        </r>
      </text>
    </comment>
    <comment ref="C10" authorId="0" shapeId="0">
      <text>
        <r>
          <rPr>
            <b/>
            <sz val="8"/>
            <rFont val="Arial"/>
            <family val="2"/>
          </rPr>
          <t>Dividend in kind for convertible notes (before
conversion), preferred stock (before conversion),
and common stock, paid at start of lsat investment
round. The dividends are segmented by the original
type and series of security whose purchase earned
the dividend (not by the current type and series
of security that earned the dividend).
(variable Dividend_by_Origin_Last)</t>
        </r>
      </text>
    </comment>
    <comment ref="D10" authorId="0" shapeId="0">
      <text>
        <r>
          <rPr>
            <b/>
            <sz val="8"/>
            <rFont val="Arial"/>
            <family val="2"/>
          </rPr>
          <t>Funds paid out that are imputed (if paid) to
original investments in each type of security, at
the end of the last investment round. Warrants and
options are exercised if they are in the money.
The common payout pool covers common shares,
including exercised warrants and options.
(variable Payout_by_Origin_Last)</t>
        </r>
      </text>
    </comment>
    <comment ref="E10" authorId="0" shapeId="0">
      <text>
        <r>
          <rPr>
            <b/>
            <sz val="8"/>
            <rFont val="Arial"/>
            <family val="2"/>
          </rPr>
          <t>The percentage of funds paid out that are imputed
(if paid) to original investments in each type of
security, at the end of the last investment round.
Warrants and options are exercised if they are in
the money. The common payout pool covers common
shares, including exercised warrants and options.
(variable Payout_by_Origin_pct_LastRnd)</t>
        </r>
      </text>
    </comment>
    <comment ref="F10" authorId="0" shapeId="0">
      <text>
        <r>
          <rPr>
            <b/>
            <sz val="8"/>
            <rFont val="Arial"/>
            <family val="2"/>
          </rPr>
          <t>The multiple of investment (ex-dividends) that
each type of security gets. This is a straight
multiple with no discounting for the time value of
money. The value of founders' noncash
contributions are included as investments in this
computation.
(variable Return_Multiple)</t>
        </r>
      </text>
    </comment>
    <comment ref="B29" authorId="0" shapeId="0">
      <text>
        <r>
          <rPr>
            <b/>
            <sz val="8"/>
            <rFont val="Arial"/>
            <family val="2"/>
          </rPr>
          <t>Internal rate of return of cash flow to holders of
each series and type of security. Includes new
investments, exercise payments (for warrants and
options) and final payout at the end of the last
investment round.
(variable IRR_XIRR_Yr)</t>
        </r>
      </text>
    </comment>
    <comment ref="C29" authorId="0" shapeId="0">
      <text>
        <r>
          <rPr>
            <b/>
            <sz val="8"/>
            <rFont val="Arial"/>
            <family val="2"/>
          </rPr>
          <t>Net present value of cash flows to each series of
each type of security. Each series and type of
security can have its own discount rate to reflect
different risks.
(variable Net_Present_Value_XNPV)</t>
        </r>
      </text>
    </comment>
    <comment ref="D29" authorId="0" shapeId="0">
      <text>
        <r>
          <rPr>
            <b/>
            <sz val="8"/>
            <rFont val="Arial"/>
            <family val="2"/>
          </rPr>
          <t>Annualized discount rates used in computation of
present values of investor cash flows
(variable Discount_Rate_Yr)</t>
        </r>
      </text>
    </comment>
    <comment ref="A50" authorId="0" shapeId="0">
      <text>
        <r>
          <rPr>
            <b/>
            <sz val="8"/>
            <rFont val="Arial"/>
            <family val="2"/>
          </rPr>
          <t>Gross investment, segmented by type and series of
security, investment round, and phase. Converted
notes and preferred shares and exercised warrants
and options remain in their respective security
types and series. 
The phase are:
* Start = investment in securities at the
beginning of the round
* New Sales = new investment in securities in the
round
* Post Sales = gross investment in securities
after sale of new securities
* Convert = added investment in exercise $
amounts for exercised warrants and options
* End = investments at the end of the round
(which still include amounts converted).
(variable Investment_by_Origin)</t>
        </r>
      </text>
    </comment>
    <comment ref="A127" authorId="0" shapeId="0">
      <text>
        <r>
          <rPr>
            <b/>
            <sz val="8"/>
            <rFont val="Arial"/>
            <family val="2"/>
          </rPr>
          <t>Gross investment including value of converted
securities, and excluding preferred dividends and
interest payments on notes, segmented by type of
security, by investment round
(variable Invest_by_Origin_exDiv)</t>
        </r>
      </text>
    </comment>
    <comment ref="A209" authorId="0" shapeId="0">
      <text>
        <r>
          <rPr>
            <b/>
            <sz val="8"/>
            <rFont val="Arial"/>
            <family val="2"/>
          </rPr>
          <t>Date of each investment round, determined by
investment scenario selected
(variable Event_Date)</t>
        </r>
      </text>
    </comment>
    <comment ref="A211" authorId="0" shapeId="0">
      <text>
        <r>
          <rPr>
            <b/>
            <sz val="8"/>
            <rFont val="Arial"/>
            <family val="2"/>
          </rPr>
          <t>Net investment at each phase of each investment
round, segmented by type of security. Converted
notes and preferred shares and exercised warrants
and options are subtracted and added to common
stock. Exercise $ amounts for warrants and options
are added to Net Investment for common stock.
The phase are:
* Start = outstanding investment in securities at
the beginning of the round
* New Sales = new investment in securities in the
round
* Post Sales = gross investment in securities
after sale of new securities
* Convert = investment value of securities being
converted (notes) or exercised (warrants and
options)
* End = investments at the end of the round (with
converted and exercised securties recorded as
common stock)
(variable Investment_Net)</t>
        </r>
      </text>
    </comment>
    <comment ref="A288" authorId="0" shapeId="0">
      <text>
        <r>
          <rPr>
            <b/>
            <sz val="8"/>
            <rFont val="Arial"/>
            <family val="2"/>
          </rPr>
          <t>Dividend in kind for convertible notes (before
conversion), preferred stock (before conversion),
and common stock, paid at start of each investment
round</t>
        </r>
      </text>
    </comment>
  </commentList>
</comments>
</file>

<file path=xl/comments3.xml><?xml version="1.0" encoding="utf-8"?>
<comments xmlns="http://schemas.openxmlformats.org/spreadsheetml/2006/main">
  <authors>
    <author>VISTA$</author>
  </authors>
  <commentList>
    <comment ref="A7" authorId="0" shapeId="0">
      <text>
        <r>
          <rPr>
            <b/>
            <sz val="8"/>
            <rFont val="Arial"/>
            <family val="2"/>
          </rPr>
          <t>Date of each investment round, determined by
investment scenario selected
(variable Event_Date)</t>
        </r>
      </text>
    </comment>
    <comment ref="A12" authorId="0" shapeId="0">
      <text>
        <r>
          <rPr>
            <b/>
            <sz val="8"/>
            <rFont val="Arial"/>
            <family val="2"/>
          </rPr>
          <t>Number of common shares that originated from
conversion or exercise of each type of security or
sale of common shares, recorded at the end of each
investment round
(variable Shares_Common_by_Origin)</t>
        </r>
      </text>
    </comment>
    <comment ref="A28" authorId="0" shapeId="0">
      <text>
        <r>
          <rPr>
            <b/>
            <sz val="8"/>
            <rFont val="Arial"/>
            <family val="2"/>
          </rPr>
          <t>The number of units of each type of security
outstanding or transacted at each phase in each
investment round. For convertible notes, share
numbers are shown as zero. Warrants and options
can be exercised for common shares on one-for-one
basis. "Net" means net of conversions and
exercises.
The transaction phases within each funding round
are:
* Start = outstanding securities at the beginning
of the round
* New Sales = sales of new securities in the
round
* Post Sales = outstanding securities after sale
of new securities
* Convert = securities being converted (notes) or
exercised (warrants and options)
* End = outstanding securities after conversions
are executed, which is the end of the round
Splits occur between rounds, and are included in
Start totals.
(variable Units_Net)</t>
        </r>
      </text>
    </comment>
    <comment ref="A48" authorId="0" shapeId="0">
      <text>
        <r>
          <rPr>
            <b/>
            <sz val="8"/>
            <rFont val="Arial"/>
            <family val="2"/>
          </rPr>
          <t>The number of units of each type of security
outstanding or transacted at each phase in each
investment round. For convertible notes, share
numbers are shown as zero. Warrants and options
can be exercised for common shares on one-for-one
basis. "Net" means net of conversions and
exercises.
The transaction phases within each funding round
are:
* Start = outstanding securities at the beginning
of the round
* New Sales = sales of new securities in the
round
* Post Sales = outstanding securities after sale
of new securities
* Convert = securities being converted (notes) or
exercised (warrants and options)
* End = outstanding securities after conversions
are executed, which is the end of the round
Splits occur between rounds, and are included in
Start totals.
(variable Units_Net)</t>
        </r>
      </text>
    </comment>
  </commentList>
</comments>
</file>

<file path=xl/comments4.xml><?xml version="1.0" encoding="utf-8"?>
<comments xmlns="http://schemas.openxmlformats.org/spreadsheetml/2006/main">
  <authors>
    <author>VISTA$</author>
  </authors>
  <commentList>
    <comment ref="A7" authorId="0" shapeId="0">
      <text>
        <r>
          <rPr>
            <b/>
            <sz val="8"/>
            <rFont val="Arial"/>
            <family val="2"/>
          </rPr>
          <t>Date of each investment round, determined by
investment scenario selected
(variable Event_Date)</t>
        </r>
      </text>
    </comment>
    <comment ref="A10" authorId="0" shapeId="0">
      <text>
        <r>
          <rPr>
            <b/>
            <sz val="8"/>
            <rFont val="Arial"/>
            <family val="2"/>
          </rPr>
          <t>The number of units of each type of security
outstanding or transacted at each phase in each
investment round. For convertible notes, share
numbers are shown as zero. Warrants and options
can be exercised for common shares on one-for-one
basis. "Net" means net of conversions and
exercises.
The transaction phases within each funding round
are:
* Start = outstanding securities at the beginning
of the round
* New Sales = sales of new securities in the
round
* Post Sales = outstanding securities after sale
of new securities
* Convert = securities being converted (notes) or
exercised (warrants and options)
* End = outstanding securities after conversions
are executed, which is the end of the round
Splits occur between rounds, and are included in
Start totals.
(variable Units_Net)</t>
        </r>
      </text>
    </comment>
    <comment ref="A26" authorId="0" shapeId="0">
      <text>
        <r>
          <rPr>
            <b/>
            <sz val="8"/>
            <rFont val="Arial"/>
            <family val="2"/>
          </rPr>
          <t>Percent of outstanding convertible notes and
preferred stock converting; and percent of
outstanding warrants and options exercising in
each investment round.
The model starts with default decisions for what
securities to exercise or convert and when. These
default decisions are computed in the variable
'Conversion Decisions Default'.
You can override the default conversion decisions
by entering new values.
(variable Converting_pct)</t>
        </r>
      </text>
    </comment>
    <comment ref="A42" authorId="0" shapeId="0">
      <text>
        <r>
          <rPr>
            <b/>
            <sz val="8"/>
            <rFont val="Arial"/>
            <family val="2"/>
          </rPr>
          <t>This variable encodes the default conversion
decisions for securities. 
+1 means all conversion conditions are satisfied
0 means some conversion condition is not
satisfied
This information determines the default values
for conversion percents for each security in each
round, found in variable 'Convert %'.
You can get detail on which conversion conditions
are or are not satisfied in variable 'Conversion
Decisions Detail'.
(variable Conversion_Decisions_Default)</t>
        </r>
      </text>
    </comment>
    <comment ref="A58" authorId="0" shapeId="0">
      <text>
        <r>
          <rPr>
            <b/>
            <sz val="8"/>
            <rFont val="Arial"/>
            <family val="2"/>
          </rPr>
          <t>The default conversion decision for each security
is positive (negative) if all these built-in
conditions are satisfied (not satisfied).
1) The date of the current round has reached the
trigger date
2) The sum of investments in common, preferred
and notes exceeds the trigger investment
threshhold
3) For notes and preferred: the value of the
company exceeds a safety criterion (investment in
notes + preferred must be less than a stated
fraction of firm value).
4) For notes and preferred: value of commmon
shares obtained &gt; (1+premium) * liquidation
preference.
5) For warrants and options: common share price
&gt;= exercise price.
The cell values have these meanings:
+1: conversion condition is satisfied
0 : conversion condition is not satisfied
-1: means conversion condition is not relevant
You can override these conversion decisions by
entering values in variable 'Converting %'.
(variable Conversion_Decisions_Detail)</t>
        </r>
      </text>
    </comment>
  </commentList>
</comments>
</file>

<file path=xl/comments5.xml><?xml version="1.0" encoding="utf-8"?>
<comments xmlns="http://schemas.openxmlformats.org/spreadsheetml/2006/main">
  <authors>
    <author>VISTA$</author>
  </authors>
  <commentList>
    <comment ref="A7" authorId="0" shapeId="0">
      <text>
        <r>
          <rPr>
            <b/>
            <sz val="8"/>
            <rFont val="Arial"/>
            <family val="2"/>
          </rPr>
          <t>Date of each investment round, determined by
investment scenario selected
(variable Event_Date)</t>
        </r>
      </text>
    </comment>
    <comment ref="A12" authorId="0" shapeId="0">
      <text>
        <r>
          <rPr>
            <b/>
            <sz val="8"/>
            <rFont val="Arial"/>
            <family val="2"/>
          </rPr>
          <t>Price at which new warrants and options are
purchased. Warrant and option prices are based on
current stock price, ignoring the variance of
stock price over time.
(variable Price_Unit_New)</t>
        </r>
      </text>
    </comment>
    <comment ref="A29" authorId="0" shapeId="0">
      <text>
        <r>
          <rPr>
            <b/>
            <sz val="8"/>
            <rFont val="Arial"/>
            <family val="2"/>
          </rPr>
          <t>Price at which securities convert to common stock
in each investment round. Conversion occurs after
sale of new securities in each round. Conversion
prices in general differ from prices for sale of
new securities in an earlier phase.
* Conversion price of notes is common share price
less a discount percent specified by the note.
* Conversion price of preferred shares is common
share price plus a specified preferred share price
premium.
* Conversion price of common shares is the
current common share price after completion of
sale of new securities
(variable Price_Unit_Conv)</t>
        </r>
      </text>
    </comment>
    <comment ref="A35" authorId="0" shapeId="0">
      <text>
        <r>
          <rPr>
            <b/>
            <sz val="8"/>
            <rFont val="Arial"/>
            <family val="2"/>
          </rPr>
          <t>Price at which securities convert to common stock
in each investment round. Conversion occurs after
sale of new securities in each round. Conversion
prices in general differ from prices for sale of
new securities in an earlier phase.
* Conversion price of notes is common share price
less a discount percent specified by the note.
* Conversion price of preferred shares is common
share price plus a specified preferred share price
premium.
* Conversion price of common shares is the
current common share price after completion of
sale of new securities
(variable Price_Unit_Conv)</t>
        </r>
      </text>
    </comment>
    <comment ref="A40" authorId="0" shapeId="0">
      <text>
        <r>
          <rPr>
            <b/>
            <sz val="8"/>
            <rFont val="Arial"/>
            <family val="2"/>
          </rPr>
          <t>Price at which securities convert to common stock
in each investment round. Conversion occurs after
sale of new securities in each round. Conversion
prices in general differ from prices for sale of
new securities in an earlier phase.
* Conversion price of notes is common share price
less a discount percent specified by the note.
* Conversion price of preferred shares is common
share price plus a specified preferred share price
premium.
* Conversion price of common shares is the
current common share price after completion of
sale of new securities
(variable Price_Unit_Conv)</t>
        </r>
      </text>
    </comment>
    <comment ref="A43" authorId="0" shapeId="0">
      <text>
        <r>
          <rPr>
            <b/>
            <sz val="8"/>
            <rFont val="Arial"/>
            <family val="2"/>
          </rPr>
          <t>Price at which securities convert to common stock
in each investment round. Conversion occurs after
sale of new securities in each round. Conversion
prices in general differ from prices for sale of
new securities in an earlier phase.
* Conversion price of notes is common share price
less a discount percent specified by the note.
* Conversion price of preferred shares is common
share price plus a specified preferred share price
premium.
* Conversion price of common shares is the
current common share price after completion of
sale of new securities
(variable Price_Unit_Conv)</t>
        </r>
      </text>
    </comment>
  </commentList>
</comments>
</file>

<file path=xl/comments6.xml><?xml version="1.0" encoding="utf-8"?>
<comments xmlns="http://schemas.openxmlformats.org/spreadsheetml/2006/main">
  <authors>
    <author>VISTA$</author>
  </authors>
  <commentList>
    <comment ref="A7" authorId="0" shapeId="0">
      <text>
        <r>
          <rPr>
            <b/>
            <sz val="8"/>
            <rFont val="Arial"/>
            <family val="2"/>
          </rPr>
          <t>Date of each investment round, determined by
investment scenario selected
(variable Event_Date)</t>
        </r>
      </text>
    </comment>
    <comment ref="A12" authorId="0" shapeId="0">
      <text>
        <r>
          <rPr>
            <b/>
            <sz val="8"/>
            <rFont val="Arial"/>
            <family val="2"/>
          </rPr>
          <t>The amount of exercise payments due upon exercise
of outstanding warrants and options. For Phase
Convert, the amount of exercise payments made to
exercise warrants and options in each round.
(variable OptionWar_Exercise_Amt)</t>
        </r>
      </text>
    </comment>
    <comment ref="A19" authorId="0" shapeId="0">
      <text>
        <r>
          <rPr>
            <b/>
            <sz val="8"/>
            <rFont val="Arial"/>
            <family val="2"/>
          </rPr>
          <t>Number of unexercised warrants and options that
are in the money in phase End, for each investment
round. Used in variable Payout in denominators of
formulas.
(variable OptionWar_in_Money)</t>
        </r>
      </text>
    </comment>
    <comment ref="A25" authorId="0" shapeId="0">
      <text>
        <r>
          <rPr>
            <b/>
            <sz val="8"/>
            <rFont val="Arial"/>
            <family val="2"/>
          </rPr>
          <t>The amount of exercise payments due upon exercise
of outstanding warrants and options. For Phase
Convert, the amount of exercise payments made to
exercise warrants and options in each round.
(variable OptionWar_Exercise_Amt)</t>
        </r>
      </text>
    </comment>
    <comment ref="A47" authorId="0" shapeId="0">
      <text>
        <r>
          <rPr>
            <b/>
            <sz val="8"/>
            <rFont val="Arial"/>
            <family val="2"/>
          </rPr>
          <t>Number of unexercised warrants and options that
are in the money in phase End, for each investment
round. Used in variable Payout in denominators of
formulas.
(variable OptionWar_in_Money)</t>
        </r>
      </text>
    </comment>
  </commentList>
</comments>
</file>

<file path=xl/comments7.xml><?xml version="1.0" encoding="utf-8"?>
<comments xmlns="http://schemas.openxmlformats.org/spreadsheetml/2006/main">
  <authors>
    <author>VISTA$</author>
  </authors>
  <commentList>
    <comment ref="A7" authorId="0" shapeId="0">
      <text>
        <r>
          <rPr>
            <b/>
            <sz val="8"/>
            <rFont val="Arial"/>
            <family val="2"/>
          </rPr>
          <t>Date of each investment round, determined by
investment scenario selected
(variable Event_Date)</t>
        </r>
      </text>
    </comment>
    <comment ref="A10" authorId="0" shapeId="0">
      <text>
        <r>
          <rPr>
            <b/>
            <sz val="8"/>
            <rFont val="Arial"/>
            <family val="2"/>
          </rPr>
          <t>Firm value at phases Start, Post Sales, and End;
and change in firm value at phases New Sales and
Convert, for each investment round. A new
investment (including paying the exercise price to
exercise a warrant or option) increases the value
of the firm by the amount of the new investment.
(variable Firm_Value)</t>
        </r>
      </text>
    </comment>
    <comment ref="A13" authorId="0" shapeId="0">
      <text>
        <r>
          <rPr>
            <b/>
            <sz val="8"/>
            <rFont val="Arial"/>
            <family val="2"/>
          </rPr>
          <t>New investments due to sale of new convertible
notes, preferred and common shares, by investment
round. New warrants and options are tracked in
variable Shares_New because they are specified by
number of new shares, not new investment.
(variable Investment_New)</t>
        </r>
      </text>
    </comment>
    <comment ref="A16" authorId="0" shapeId="0">
      <text>
        <r>
          <rPr>
            <b/>
            <sz val="8"/>
            <rFont val="Arial"/>
            <family val="2"/>
          </rPr>
          <t>Gross investment, segmented by type and series of
security, investment round, and phase. Converted
notes and preferred shares and exercised warrants
and options remain in their respective security
types and series. 
The phase are:
* Start = investment in securities at the
beginning of the round
* New Sales = new investment in securities in the
round
* Post Sales = gross investment in securities
after sale of new securities
* Convert = added investment in exercise $
amounts for exercised warrants and options
* End = investments at the end of the round
(which still include amounts converted).
(variable Investment_by_Origin)</t>
        </r>
      </text>
    </comment>
    <comment ref="A19" authorId="0" shapeId="0">
      <text>
        <r>
          <rPr>
            <b/>
            <sz val="8"/>
            <rFont val="Arial"/>
            <family val="2"/>
          </rPr>
          <t>Gross investment, segmented by type and series of
security, investment round, and phase. Converted
notes and preferred shares and exercised warrants
and options remain in their respective security
types and series. 
The phase are:
* Start = investment in securities at the
beginning of the round
* New Sales = new investment in securities in the
round
* Post Sales = gross investment in securities
after sale of new securities
* Convert = added investment in exercise $
amounts for exercised warrants and options
* End = investments at the end of the round
(which still include amounts converted).
(variable Investment_by_Origin)</t>
        </r>
      </text>
    </comment>
    <comment ref="A22" authorId="0" shapeId="0">
      <text>
        <r>
          <rPr>
            <b/>
            <sz val="8"/>
            <rFont val="Arial"/>
            <family val="2"/>
          </rPr>
          <t>Firm value at phases Start, Post Sales, and End;
and change in firm value at phases New Sales and
Convert, for each investment round. A new
investment (including paying the exercise price to
exercise a warrant or option) increases the value
of the firm by the amount of the new investment.
(variable Firm_Value)</t>
        </r>
      </text>
    </comment>
  </commentList>
</comments>
</file>

<file path=xl/comments8.xml><?xml version="1.0" encoding="utf-8"?>
<comments xmlns="http://schemas.openxmlformats.org/spreadsheetml/2006/main">
  <authors>
    <author>VISTA$</author>
  </authors>
  <commentList>
    <comment ref="B6" authorId="0" shapeId="0">
      <text>
        <r>
          <rPr>
            <b/>
            <sz val="8"/>
            <rFont val="Arial"/>
            <family val="2"/>
          </rPr>
          <t>The amount of funds available for payout to each
type of security at phase End (after conversion of
notes and exercise of warrants and options) of the
last investment round. The common payout pool
covers common shares, including exercised warrants
and options.
(variable Payout_Pool_EndLast)</t>
        </r>
      </text>
    </comment>
    <comment ref="C6" authorId="0" shapeId="0">
      <text>
        <r>
          <rPr>
            <b/>
            <sz val="8"/>
            <rFont val="Arial"/>
            <family val="2"/>
          </rPr>
          <t>The amount of liquidiation preference that is due
to each class of security (before anything is paid
to holders of junior securities, in the event of
liquidiation), at the last phase (End) of  the
last round
(variable Liq_Preference_EndLast)</t>
        </r>
      </text>
    </comment>
    <comment ref="D6" authorId="0" shapeId="0">
      <text>
        <r>
          <rPr>
            <b/>
            <sz val="8"/>
            <rFont val="Arial"/>
            <family val="2"/>
          </rPr>
          <t>The amount of funds that would be paid to each
type of security if liquidation occurs at the end
of the last investment round. Warrants and options
are exercised if they are in the money. The common
payout pool covers common shares, including
exercised warrants and options.
(variable Payout_EndLast)</t>
        </r>
      </text>
    </comment>
    <comment ref="E6" authorId="0" shapeId="0">
      <text>
        <r>
          <rPr>
            <b/>
            <sz val="8"/>
            <rFont val="Arial"/>
            <family val="2"/>
          </rPr>
          <t>The percentage of the entire payout that is paid
to each type of security in the final (exit) round
(variable Payout_EndLast_pct)</t>
        </r>
      </text>
    </comment>
    <comment ref="A25" authorId="0" shapeId="0">
      <text>
        <r>
          <rPr>
            <b/>
            <sz val="8"/>
            <rFont val="Arial"/>
            <family val="2"/>
          </rPr>
          <t>The amount of funds available for payout to each
type of security at phase End (after conversion of
notes and exercise of warrants and options), in
each investment round. The common payout pool
covers common shares, including exercised warrants
and options.
(variable Payout_Pool_End)</t>
        </r>
      </text>
    </comment>
    <comment ref="A41" authorId="0" shapeId="0">
      <text>
        <r>
          <rPr>
            <b/>
            <sz val="8"/>
            <rFont val="Arial"/>
            <family val="2"/>
          </rPr>
          <t>The amount of funds that would be paid to each
type of security if liquidation occurs at the end
of an investment round. Warrants and options are
exercised if they are in the money. The common
payout pool covers common shares, including
exercised warrants and options.
(variable Payout_End)</t>
        </r>
      </text>
    </comment>
    <comment ref="A57" authorId="0" shapeId="0">
      <text>
        <r>
          <rPr>
            <b/>
            <sz val="8"/>
            <rFont val="Arial"/>
            <family val="2"/>
          </rPr>
          <t>The percentage of the entire payout that is paid
to each type of security in the final (exit) round
(variable Payout_End_pct)</t>
        </r>
      </text>
    </comment>
    <comment ref="A74" authorId="0" shapeId="0">
      <text>
        <r>
          <rPr>
            <b/>
            <sz val="8"/>
            <rFont val="Arial"/>
            <family val="2"/>
          </rPr>
          <t>The amount of liquidiation preference that is due
to each class of security (before anything is paid
to holders of junior securities, in the event of
liquidiation), at the last phase (End) of each
round
(variable Liq_Preference_End)</t>
        </r>
      </text>
    </comment>
    <comment ref="A80" authorId="0" shapeId="0">
      <text>
        <r>
          <rPr>
            <b/>
            <sz val="8"/>
            <rFont val="Arial"/>
            <family val="2"/>
          </rPr>
          <t>The amount of liquidiation preference that is due
to each class of security (before anything is paid
to holders of junior securities, in the event of
liquidiation), at the last phase (End) of each
round
(variable Liq_Preference_End)</t>
        </r>
      </text>
    </comment>
  </commentList>
</comments>
</file>

<file path=xl/comments9.xml><?xml version="1.0" encoding="utf-8"?>
<comments xmlns="http://schemas.openxmlformats.org/spreadsheetml/2006/main">
  <authors>
    <author>VISTA$</author>
  </authors>
  <commentList>
    <comment ref="B6" authorId="0" shapeId="0">
      <text>
        <r>
          <rPr>
            <b/>
            <sz val="8"/>
            <rFont val="Arial"/>
            <family val="2"/>
          </rPr>
          <t>Name of the company
(variable Company_Name)</t>
        </r>
      </text>
    </comment>
    <comment ref="B8" authorId="0" shapeId="0">
      <text>
        <r>
          <rPr>
            <b/>
            <sz val="8"/>
            <rFont val="Arial"/>
            <family val="2"/>
          </rPr>
          <t>This variable encodes the default conversion
decisions for securities. 
+1 means all conversion conditions are satisfied
0 means some conversion condition is not
satisfied
This information determines the default values
for conversion percents for each security in each
round, found in variable 'Convert %'.
You can get detail on which conversion conditions
are or are not satisfied in variable 'Conversion
Decisions Detail'.
(variable Conversion_Decisions_Default)</t>
        </r>
      </text>
    </comment>
    <comment ref="B10" authorId="0" shapeId="0">
      <text>
        <r>
          <rPr>
            <b/>
            <sz val="8"/>
            <rFont val="Arial"/>
            <family val="2"/>
          </rPr>
          <t>The default conversion decision for each security
is positive (negative) if all these built-in
conditions are satisfied (not satisfied).
1) The date of the current round has reached the
trigger date
2) The sum of investments in common, preferred
and notes exceeds the trigger investment
threshhold
3) For notes and preferred: the value of the
company exceeds a safety criterion (investment in
notes + preferred must be less than a stated
fraction of firm value).
4) For notes and preferred: value of commmon
shares obtained &gt; (1+premium) * liquidation
preference.
5) For warrants and options: common share price
&gt;= exercise price.
The cell values have these meanings:
+1: conversion condition is satisfied
0 : conversion condition is not satisfied
-1: means conversion condition is not relevant
You can override these conversion decisions by
entering values in variable 'Converting %'.
(variable Conversion_Decisions_Detail)</t>
        </r>
      </text>
    </comment>
    <comment ref="B21" authorId="0" shapeId="0">
      <text>
        <r>
          <rPr>
            <b/>
            <sz val="8"/>
            <rFont val="Arial"/>
            <family val="2"/>
          </rPr>
          <t>Conversion of securities to common stock must
produce this value premium over liquidation
preference, in order for the default conversion
condition to be satisfied. If &lt; 0, then the
company has the right to convert the security to
common stock when all the conditions are met.
(variable Convert_Liq_Premium_pct)</t>
        </r>
      </text>
    </comment>
    <comment ref="B23" authorId="0" shapeId="0">
      <text>
        <r>
          <rPr>
            <b/>
            <sz val="8"/>
            <rFont val="Arial"/>
            <family val="2"/>
          </rPr>
          <t>Date at which securities can first be converted or
exercised to obtain common stock. A date beyond
the end of model time indicates that there is no
trigger date for conversion of the security.
(variable Convert_Trigger_Date)</t>
        </r>
      </text>
    </comment>
    <comment ref="B25" authorId="0" shapeId="0">
      <text>
        <r>
          <rPr>
            <b/>
            <sz val="8"/>
            <rFont val="Arial"/>
            <family val="2"/>
          </rPr>
          <t>Minimum amount of equity capital that the company
must raise before securities can be converted or
exercised to obtain common stock. An amount
greater than the capitalization of the company
indicates that the security cannot be converted
(or exercised).
(variable Convert_Trigger_Invest_Amt)</t>
        </r>
      </text>
    </comment>
    <comment ref="B27" authorId="0" shapeId="0">
      <text>
        <r>
          <rPr>
            <b/>
            <sz val="8"/>
            <rFont val="Arial"/>
            <family val="2"/>
          </rPr>
          <t>Maximum fraction of the value of a firm that can
be in senior securities in order that a series of
convertible securities converts. (Other conversion
criteria involve dates and minimum equity funding
raised by the company.)
(variable Convert_Trigger_Value_pct)</t>
        </r>
      </text>
    </comment>
    <comment ref="B29" authorId="0" shapeId="0">
      <text>
        <r>
          <rPr>
            <b/>
            <sz val="8"/>
            <rFont val="Arial"/>
            <family val="2"/>
          </rPr>
          <t>Percent of outstanding convertible notes and
preferred stock converting; and percent of
outstanding warrants and options exercising in
each investment round.
The model starts with default decisions for what
securities to exercise or convert and when. These
default decisions are computed in the variable
'Conversion Decisions Default'.
You can override the default conversion decisions
by entering new values.
(variable Converting_pct)</t>
        </r>
      </text>
    </comment>
    <comment ref="B31" authorId="0" shapeId="0">
      <text>
        <r>
          <rPr>
            <b/>
            <sz val="8"/>
            <rFont val="Arial"/>
            <family val="2"/>
          </rPr>
          <t>The discount percent on prevailing common share
price that accrue to holders of each series of
convertible security at the time of conversion or
exercise. This discount is a reward for investing
early when the risk was presumed higher.
(variable ConvNote_Discount_pct)</t>
        </r>
      </text>
    </comment>
    <comment ref="B33" authorId="0" shapeId="0">
      <text>
        <r>
          <rPr>
            <b/>
            <sz val="8"/>
            <rFont val="Arial"/>
            <family val="2"/>
          </rPr>
          <t>Annualized discount rates used in computation of
present values of investor cash flows
(variable Discount_Rate_Yr)</t>
        </r>
      </text>
    </comment>
    <comment ref="B35" authorId="0" shapeId="0">
      <text>
        <r>
          <rPr>
            <b/>
            <sz val="8"/>
            <rFont val="Arial"/>
            <family val="2"/>
          </rPr>
          <t>Dividend in kind for convertible notes (before
conversion), preferred stock (before conversion),
and common stock, paid at start of each investment
round</t>
        </r>
      </text>
    </comment>
    <comment ref="B38" authorId="0" shapeId="0">
      <text>
        <r>
          <rPr>
            <b/>
            <sz val="8"/>
            <rFont val="Arial"/>
            <family val="2"/>
          </rPr>
          <t>Dividend in kind for convertible notes (before
conversion), preferred stock (before conversion),
and common stock, paid at start of each investment
round. The dividends are segmented by the original
type and series of security whose purchase earned
the dividend (not by the current type and series
of security that earned the dividend).
(variable Dividend_by_Origin)</t>
        </r>
      </text>
    </comment>
    <comment ref="B41" authorId="0" shapeId="0">
      <text>
        <r>
          <rPr>
            <b/>
            <sz val="8"/>
            <rFont val="Arial"/>
            <family val="2"/>
          </rPr>
          <t>Dividend in kind for convertible notes (before
conversion), preferred stock (before conversion),
and common stock, paid at start of lsat investment
round. The dividends are segmented by the original
type and series of security whose purchase earned
the dividend (not by the current type and series
of security that earned the dividend).
(variable Dividend_by_Origin_Last)</t>
        </r>
      </text>
    </comment>
    <comment ref="B43" authorId="0" shapeId="0">
      <text>
        <r>
          <rPr>
            <b/>
            <sz val="8"/>
            <rFont val="Arial"/>
            <family val="2"/>
          </rPr>
          <t>Dividend paid on common stock, paid at the
beginning of each investment round
(variable Dividend_Common)</t>
        </r>
      </text>
    </comment>
    <comment ref="B45" authorId="0" shapeId="0">
      <text>
        <r>
          <rPr>
            <b/>
            <sz val="8"/>
            <rFont val="Arial"/>
            <family val="2"/>
          </rPr>
          <t>Dividend rate for preferred stock, and interest
rate paid on convertible notes before conversion
(variable Dividend_pct_Yr)</t>
        </r>
      </text>
    </comment>
    <comment ref="B47" authorId="0" shapeId="0">
      <text>
        <r>
          <rPr>
            <b/>
            <sz val="8"/>
            <rFont val="Arial"/>
            <family val="2"/>
          </rPr>
          <t>Date of each investment round, determined by
investment scenario selected
(variable Event_Date)</t>
        </r>
      </text>
    </comment>
    <comment ref="B49" authorId="0" shapeId="0">
      <text>
        <r>
          <rPr>
            <b/>
            <sz val="8"/>
            <rFont val="Arial"/>
            <family val="2"/>
          </rPr>
          <t>Date of each investment round
(variable Event_Date_Sc0)</t>
        </r>
      </text>
    </comment>
    <comment ref="B51" authorId="0" shapeId="0">
      <text>
        <r>
          <rPr>
            <b/>
            <sz val="8"/>
            <rFont val="Arial"/>
            <family val="2"/>
          </rPr>
          <t>Firm value at phases Start, Post Sales, and End;
and change in firm value at phases New Sales and
Convert, for each investment round. A new
investment (including paying the exercise price to
exercise a warrant or option) increases the value
of the firm by the amount of the new investment.
(variable Firm_Value)</t>
        </r>
      </text>
    </comment>
    <comment ref="B57" authorId="0" shapeId="0">
      <text>
        <r>
          <rPr>
            <b/>
            <sz val="8"/>
            <rFont val="Arial"/>
            <family val="2"/>
          </rPr>
          <t>Firm value at End of each investment round. Used
in plotting.
(variable Firm_Value_End)</t>
        </r>
      </text>
    </comment>
    <comment ref="B59" authorId="0" shapeId="0">
      <text>
        <r>
          <rPr>
            <b/>
            <sz val="8"/>
            <rFont val="Arial"/>
            <family val="2"/>
          </rPr>
          <t>Valuation of the firm at the start of each
investment round
(variable Firm_Value_Start)</t>
        </r>
      </text>
    </comment>
    <comment ref="B61" authorId="0" shapeId="0">
      <text>
        <r>
          <rPr>
            <b/>
            <sz val="8"/>
            <rFont val="Arial"/>
            <family val="2"/>
          </rPr>
          <t>Valuation of the firm at the start of each
investment round
(variable Firm_Value_Start_Sc0)</t>
        </r>
      </text>
    </comment>
    <comment ref="B63" authorId="0" shapeId="0">
      <text>
        <r>
          <rPr>
            <b/>
            <sz val="8"/>
            <rFont val="Arial"/>
            <family val="2"/>
          </rPr>
          <t>Cumulative gross investment in common stock, for
each investment round. Includes dividends. Used
for plotting.
(variable Invest_by_Origin_Common_plt)</t>
        </r>
      </text>
    </comment>
    <comment ref="B65" authorId="0" shapeId="0">
      <text>
        <r>
          <rPr>
            <b/>
            <sz val="8"/>
            <rFont val="Arial"/>
            <family val="2"/>
          </rPr>
          <t>Cumulative gross investment in convertible notes,
for each investment round. Used for plotting.
(variable Invest_by_Origin_Conv_plt)</t>
        </r>
      </text>
    </comment>
    <comment ref="B67" authorId="0" shapeId="0">
      <text>
        <r>
          <rPr>
            <b/>
            <sz val="8"/>
            <rFont val="Arial"/>
            <family val="2"/>
          </rPr>
          <t>Gross investment including value of converted
securities, and excluding preferred dividends and
interest payments on notes, segmented by type of
security, by investment round
(variable Invest_by_Origin_exDiv)</t>
        </r>
      </text>
    </comment>
    <comment ref="B73" authorId="0" shapeId="0">
      <text>
        <r>
          <rPr>
            <b/>
            <sz val="8"/>
            <rFont val="Arial"/>
            <family val="2"/>
          </rPr>
          <t>Gross investment including value of converted
securities, and excluding preferred dividends and
interest payments on notes, segmented by type of
security, by investment round
(variable Invest_by_Origin_exDiv_LastRnd)</t>
        </r>
      </text>
    </comment>
    <comment ref="B75" authorId="0" shapeId="0">
      <text>
        <r>
          <rPr>
            <b/>
            <sz val="8"/>
            <rFont val="Arial"/>
            <family val="2"/>
          </rPr>
          <t>Cumulative gross investment in options, for each
investment round. Used for plotting.
(variable Invest_by_Origin_Opt_plt)</t>
        </r>
      </text>
    </comment>
    <comment ref="B77" authorId="0" shapeId="0">
      <text>
        <r>
          <rPr>
            <b/>
            <sz val="8"/>
            <rFont val="Arial"/>
            <family val="2"/>
          </rPr>
          <t>Cumulative gross investment in preferred stock,
for each investment round. Includes dividends.
Used for plotting.
(variable Invest_by_Origin_Preferred_plt)</t>
        </r>
      </text>
    </comment>
    <comment ref="B79" authorId="0" shapeId="0">
      <text>
        <r>
          <rPr>
            <b/>
            <sz val="8"/>
            <rFont val="Arial"/>
            <family val="2"/>
          </rPr>
          <t>Cumulative gross investment in warrants, for each
investment round. Used for plotting.
(variable Invest_by_Origin_War_plt)</t>
        </r>
      </text>
    </comment>
    <comment ref="B81" authorId="0" shapeId="0">
      <text>
        <r>
          <rPr>
            <b/>
            <sz val="8"/>
            <rFont val="Arial"/>
            <family val="2"/>
          </rPr>
          <t>Cumulative gross investment in common stock held
at the end of each investment round. Includes
dividends. Used for plotting.
(variable Invest_End_Common_plt)</t>
        </r>
      </text>
    </comment>
    <comment ref="B83" authorId="0" shapeId="0">
      <text>
        <r>
          <rPr>
            <b/>
            <sz val="8"/>
            <rFont val="Arial"/>
            <family val="2"/>
          </rPr>
          <t>Cumulative gross investment held in convertible
notes, for each investment round. Used for
plotting.
(variable Invest_End_Conv_plt)</t>
        </r>
      </text>
    </comment>
    <comment ref="B85" authorId="0" shapeId="0">
      <text>
        <r>
          <rPr>
            <b/>
            <sz val="8"/>
            <rFont val="Arial"/>
            <family val="2"/>
          </rPr>
          <t>Cumulative gross investment in options held at the
end of each investment round. Used for plotting.
(variable Invest_End_Opt_plt)</t>
        </r>
      </text>
    </comment>
    <comment ref="B87" authorId="0" shapeId="0">
      <text>
        <r>
          <rPr>
            <b/>
            <sz val="8"/>
            <rFont val="Arial"/>
            <family val="2"/>
          </rPr>
          <t>Cumulative gross investment held in preferred
stock at the end of each investment round.
Includes dividends. Used for plotting.
(variable Invest_End_Preferred_plt)</t>
        </r>
      </text>
    </comment>
    <comment ref="B89" authorId="0" shapeId="0">
      <text>
        <r>
          <rPr>
            <b/>
            <sz val="8"/>
            <rFont val="Arial"/>
            <family val="2"/>
          </rPr>
          <t>Cumulative gross investment held in warrants at
the end of each investment round. Includes
dividends. Used for plotting.
(variable Invest_End_War_plt)</t>
        </r>
      </text>
    </comment>
    <comment ref="B91" authorId="0" shapeId="0">
      <text>
        <r>
          <rPr>
            <b/>
            <sz val="8"/>
            <rFont val="Arial"/>
            <family val="2"/>
          </rPr>
          <t>Gross investment, segmented by type and series of
security, investment round, and phase. Converted
notes and preferred shares and exercised warrants
and options remain in their respective security
types and series. 
The phase are:
* Start = investment in securities at the
beginning of the round
* New Sales = new investment in securities in the
round
* Post Sales = gross investment in securities
after sale of new securities
* Convert = added investment in exercise $
amounts for exercised warrants and options
* End = investments at the end of the round
(which still include amounts converted).
(variable Investment_by_Origin)</t>
        </r>
      </text>
    </comment>
    <comment ref="B98" authorId="0" shapeId="0">
      <text>
        <r>
          <rPr>
            <b/>
            <sz val="8"/>
            <rFont val="Arial"/>
            <family val="2"/>
          </rPr>
          <t>Net investment at each phase of each investment
round, segmented by type of security. Converted
notes and preferred shares and exercised warrants
and options are subtracted and added to common
stock. Exercise $ amounts for warrants and options
are added to Net Investment for common stock.
The phase are:
* Start = outstanding investment in securities at
the beginning of the round
* New Sales = new investment in securities in the
round
* Post Sales = gross investment in securities
after sale of new securities
* Convert = investment value of securities being
converted (notes) or exercised (warrants and
options)
* End = investments at the end of the round (with
converted and exercised securties recorded as
common stock)
(variable Investment_Net)</t>
        </r>
      </text>
    </comment>
    <comment ref="B107" authorId="0" shapeId="0">
      <text>
        <r>
          <rPr>
            <b/>
            <sz val="8"/>
            <rFont val="Arial"/>
            <family val="2"/>
          </rPr>
          <t>Net investment at the end of each investment
round, segmented by type of security. Used in
plots.
(variable Investment_Net_End_plt)</t>
        </r>
      </text>
    </comment>
    <comment ref="B109" authorId="0" shapeId="0">
      <text>
        <r>
          <rPr>
            <b/>
            <sz val="8"/>
            <rFont val="Arial"/>
            <family val="2"/>
          </rPr>
          <t>Net new investment in each investment round,
segmented by type of security. Used in plots.
(variable Investment_Net_New_plt)</t>
        </r>
      </text>
    </comment>
    <comment ref="B111" authorId="0" shapeId="0">
      <text>
        <r>
          <rPr>
            <b/>
            <sz val="8"/>
            <rFont val="Arial"/>
            <family val="2"/>
          </rPr>
          <t>New investments due to sale of new convertible
notes, preferred and common shares, by investment
round. New warrants and options are tracked in
variable Shares_New because they are specified by
number of new shares, not new investment.
(variable Investment_New)</t>
        </r>
      </text>
    </comment>
    <comment ref="B113" authorId="0" shapeId="0">
      <text>
        <r>
          <rPr>
            <b/>
            <sz val="8"/>
            <rFont val="Arial"/>
            <family val="2"/>
          </rPr>
          <t>New investments due to sale of new convertible
notes, preferred and common shares, by investment
round; investment scenario 1. New warrants and
options are tracked in variable Shares_New because
they are specified by number of new shares, not
new investment.
(variable Investment_New_Sc0)</t>
        </r>
      </text>
    </comment>
    <comment ref="B115" authorId="0" shapeId="0">
      <text>
        <r>
          <rPr>
            <b/>
            <sz val="8"/>
            <rFont val="Arial"/>
            <family val="2"/>
          </rPr>
          <t>Cash flows used to compute present values and
internal rates of return for each series and type
of security. Includes founders non-cash
contributions in the first round and payouts in
the last round.
(variable IRR_Cash_Flow)</t>
        </r>
      </text>
    </comment>
    <comment ref="B118" authorId="0" shapeId="0">
      <text>
        <r>
          <rPr>
            <b/>
            <sz val="8"/>
            <rFont val="Arial"/>
            <family val="2"/>
          </rPr>
          <t>Initial guess at internal rate of return of the
cash flow for holders of each series and type of
security, to start the iterative solution for the
IRR
(variable IRR_Initial_Guess_Yr)</t>
        </r>
      </text>
    </comment>
    <comment ref="B120" authorId="0" shapeId="0">
      <text>
        <r>
          <rPr>
            <b/>
            <sz val="8"/>
            <rFont val="Arial"/>
            <family val="2"/>
          </rPr>
          <t>Internal rate of return of cash flow to holders of
each series and type of security. Includes new
investments, exercise payments (for warrants and
options) and final payout at the end of the last
investment round.
(variable IRR_XIRR_Yr)</t>
        </r>
      </text>
    </comment>
    <comment ref="B122" authorId="0" shapeId="0">
      <text>
        <r>
          <rPr>
            <b/>
            <sz val="8"/>
            <rFont val="Arial"/>
            <family val="2"/>
          </rPr>
          <t>The multiple of new investment that is added to
liquidation preference for each class of security,
in each investment round
(variable Liq_Multiple)</t>
        </r>
      </text>
    </comment>
    <comment ref="B124" authorId="0" shapeId="0">
      <text>
        <r>
          <rPr>
            <b/>
            <sz val="8"/>
            <rFont val="Arial"/>
            <family val="2"/>
          </rPr>
          <t>The amount of liquidiation preference that is due
to each class of security (before anything is paid
to holders of junior securities, in the event of
liquidiation), at the last phase (End) of each
round
(variable Liq_Preference_End)</t>
        </r>
      </text>
    </comment>
    <comment ref="B126" authorId="0" shapeId="0">
      <text>
        <r>
          <rPr>
            <b/>
            <sz val="8"/>
            <rFont val="Arial"/>
            <family val="2"/>
          </rPr>
          <t>The amount of liquidiation preference that is due
to each class of security (before anything is paid
to holders of junior securities, in the event of
liquidiation), at the last phase (End) of  the
last round
(variable Liq_Preference_EndLast)</t>
        </r>
      </text>
    </comment>
    <comment ref="B128" authorId="0" shapeId="0">
      <text>
        <r>
          <rPr>
            <b/>
            <sz val="8"/>
            <rFont val="Arial"/>
            <family val="2"/>
          </rPr>
          <t>The amount of new liquidiation preference that is
due to each class of security (before anything is
paid to holders of junior securities, in the event
of liquidiation), at the last phase (End) of each
round
(variable Liq_Preference_New)</t>
        </r>
      </text>
    </comment>
    <comment ref="B130" authorId="0" shapeId="0">
      <text>
        <r>
          <rPr>
            <b/>
            <sz val="8"/>
            <rFont val="Arial"/>
            <family val="2"/>
          </rPr>
          <t>Net present value of cash flows to each series of
each type of security. Each series and type of
security can have its own discount rate to reflect
different risks.
(variable Net_Present_Value_XNPV)</t>
        </r>
      </text>
    </comment>
    <comment ref="B132" authorId="0" shapeId="0">
      <text>
        <r>
          <rPr>
            <b/>
            <sz val="8"/>
            <rFont val="Arial"/>
            <family val="2"/>
          </rPr>
          <t>The amount of exercise payments due upon exercise
of outstanding warrants and options. For Phase
Convert, the amount of exercise payments made to
exercise warrants and options in each round.
(variable OptionWar_Exercise_Amt)</t>
        </r>
      </text>
    </comment>
    <comment ref="B138" authorId="0" shapeId="0">
      <text>
        <r>
          <rPr>
            <b/>
            <sz val="8"/>
            <rFont val="Arial"/>
            <family val="2"/>
          </rPr>
          <t>Exercise price for each class of stock option.
Upon exercise of a warrant or option, the holder
pays the exercise price to the company in cash,
which amount is added to Investment by Origin for
the warrant or option, and added to Net Investment
for common stock.
(variable OptionWar_Exercise_Price)</t>
        </r>
      </text>
    </comment>
    <comment ref="B140" authorId="0" shapeId="0">
      <text>
        <r>
          <rPr>
            <b/>
            <sz val="8"/>
            <rFont val="Arial"/>
            <family val="2"/>
          </rPr>
          <t>Number of unexercised warrants and options that
are in the money in phase End, for each investment
round. Used in variable Payout in denominators of
formulas.
(variable OptionWar_in_Money)</t>
        </r>
      </text>
    </comment>
    <comment ref="B143" authorId="0" shapeId="0">
      <text>
        <r>
          <rPr>
            <b/>
            <sz val="8"/>
            <rFont val="Arial"/>
            <family val="2"/>
          </rPr>
          <t>Funds paid out that are imputed (if paid) to
original investments in each type of security, at
the end of each investment round. Warrants and
options are exercised if they are in the money.
The common payout pool covers common shares,
including exercised warrants and options.
(variable Payout_by_Origin)</t>
        </r>
      </text>
    </comment>
    <comment ref="B147" authorId="0" shapeId="0">
      <text>
        <r>
          <rPr>
            <b/>
            <sz val="8"/>
            <rFont val="Arial"/>
            <family val="2"/>
          </rPr>
          <t>Funds paid out that are imputed (if paid) to
original investments in each type of security, at
the end of the last investment round. Warrants and
options are exercised if they are in the money.
The common payout pool covers common shares,
including exercised warrants and options.
(variable Payout_by_Origin_Last)</t>
        </r>
      </text>
    </comment>
    <comment ref="B149" authorId="0" shapeId="0">
      <text>
        <r>
          <rPr>
            <b/>
            <sz val="8"/>
            <rFont val="Arial"/>
            <family val="2"/>
          </rPr>
          <t>The percentage of funds paid out that are imputed
(if paid) to original investments in each type of
security, at the end of each investment round.
Warrants and options are exercised if they are in
the money. The common payout pool covers common
shares, including exercised warrants and options.
(variable Payout_by_Origin_pct)</t>
        </r>
      </text>
    </comment>
    <comment ref="B151" authorId="0" shapeId="0">
      <text>
        <r>
          <rPr>
            <b/>
            <sz val="8"/>
            <rFont val="Arial"/>
            <family val="2"/>
          </rPr>
          <t>The percentage of funds paid out that are imputed
(if paid) to original investments in each type of
security, at the end of the last investment round.
Warrants and options are exercised if they are in
the money. The common payout pool covers common
shares, including exercised warrants and options.
(variable Payout_by_Origin_pct_LastRnd)</t>
        </r>
      </text>
    </comment>
    <comment ref="B153" authorId="0" shapeId="0">
      <text>
        <r>
          <rPr>
            <b/>
            <sz val="8"/>
            <rFont val="Arial"/>
            <family val="2"/>
          </rPr>
          <t>The amount of funds that would be paid to each
type of security if liquidation occurs at the end
of an investment round. Warrants and options are
exercised if they are in the money. The common
payout pool covers common shares, including
exercised warrants and options.
(variable Payout_End)</t>
        </r>
      </text>
    </comment>
    <comment ref="B160" authorId="0" shapeId="0">
      <text>
        <r>
          <rPr>
            <b/>
            <sz val="8"/>
            <rFont val="Arial"/>
            <family val="2"/>
          </rPr>
          <t>The percentage of the entire payout that is paid
to each type of security in the final (exit) round
(variable Payout_End_pct)</t>
        </r>
      </text>
    </comment>
    <comment ref="B162" authorId="0" shapeId="0">
      <text>
        <r>
          <rPr>
            <b/>
            <sz val="8"/>
            <rFont val="Arial"/>
            <family val="2"/>
          </rPr>
          <t>The amount of funds that would be paid to each
type of security if liquidation occurs at the end
of the last investment round. Warrants and options
are exercised if they are in the money. The common
payout pool covers common shares, including
exercised warrants and options.
(variable Payout_EndLast)</t>
        </r>
      </text>
    </comment>
    <comment ref="B164" authorId="0" shapeId="0">
      <text>
        <r>
          <rPr>
            <b/>
            <sz val="8"/>
            <rFont val="Arial"/>
            <family val="2"/>
          </rPr>
          <t>The percentage of the entire payout that is paid
to each type of security in the final (exit) round
(variable Payout_EndLast_pct)</t>
        </r>
      </text>
    </comment>
    <comment ref="B166" authorId="0" shapeId="0">
      <text>
        <r>
          <rPr>
            <b/>
            <sz val="8"/>
            <rFont val="Arial"/>
            <family val="2"/>
          </rPr>
          <t>The amount of funds available for payout to each
type of security at phase End (after conversion of
notes and exercise of warrants and options), in
each investment round. The common payout pool
covers common shares, including exercised warrants
and options.
(variable Payout_Pool_End)</t>
        </r>
      </text>
    </comment>
    <comment ref="B169" authorId="0" shapeId="0">
      <text>
        <r>
          <rPr>
            <b/>
            <sz val="8"/>
            <rFont val="Arial"/>
            <family val="2"/>
          </rPr>
          <t>The amount of funds available for payout to each
type of security at phase End (after conversion of
notes and exercise of warrants and options) of the
last investment round. The common payout pool
covers common shares, including exercised warrants
and options.
(variable Payout_Pool_EndLast)</t>
        </r>
      </text>
    </comment>
    <comment ref="B172" authorId="0" shapeId="0">
      <text>
        <r>
          <rPr>
            <b/>
            <sz val="8"/>
            <rFont val="Arial"/>
            <family val="2"/>
          </rPr>
          <t>Initial common share price at the start of the
seed round
(variable Price_Common_Init)</t>
        </r>
      </text>
    </comment>
    <comment ref="B174" authorId="0" shapeId="0">
      <text>
        <r>
          <rPr>
            <b/>
            <sz val="8"/>
            <rFont val="Arial"/>
            <family val="2"/>
          </rPr>
          <t>Price premium for a preferred share unit over
common stock at time of purchase. The premium
reflects the contingent value of preference
payments and preference dividends.
(variable Price_Premium_pct)</t>
        </r>
      </text>
    </comment>
    <comment ref="B177" authorId="0" shapeId="0">
      <text>
        <r>
          <rPr>
            <b/>
            <sz val="8"/>
            <rFont val="Arial"/>
            <family val="2"/>
          </rPr>
          <t>Price at which securities convert to common stock
in each investment round. Conversion occurs after
sale of new securities in each round. Conversion
prices in general differ from prices for sale of
new securities in an earlier phase.
* Conversion price of notes is common share price
less a discount percent specified by the note.
* Conversion price of preferred shares is common
share price plus a specified preferred share price
premium.
* Conversion price of common shares is the
current common share price after completion of
sale of new securities
(variable Price_Unit_Conv)</t>
        </r>
      </text>
    </comment>
    <comment ref="B183" authorId="0" shapeId="0">
      <text>
        <r>
          <rPr>
            <b/>
            <sz val="8"/>
            <rFont val="Arial"/>
            <family val="2"/>
          </rPr>
          <t>Price at which new warrants and options are
purchased. Warrant and option prices are based on
current stock price, ignoring the variance of
stock price over time.
(variable Price_Unit_New)</t>
        </r>
      </text>
    </comment>
    <comment ref="B187" authorId="0" shapeId="0">
      <text>
        <r>
          <rPr>
            <b/>
            <sz val="8"/>
            <rFont val="Arial"/>
            <family val="2"/>
          </rPr>
          <t>Ratio (price at which new units are purchased) /
(common share price - exercise price).
(variable Price_Unit_New_pct)</t>
        </r>
      </text>
    </comment>
    <comment ref="B189" authorId="0" shapeId="0">
      <text>
        <r>
          <rPr>
            <b/>
            <sz val="8"/>
            <rFont val="Arial"/>
            <family val="2"/>
          </rPr>
          <t>The price of each type of security at the start of
each investment round. Prices for sale of new
securities in general differ from prices for
conversion or exercise of securities in
transactions at a later phase. These prices for
unexercised options do not account for effects of
stock volatility etc. in option pricing models. 
(variable Price_Unit_Start)</t>
        </r>
      </text>
    </comment>
    <comment ref="B195" authorId="0" shapeId="0">
      <text>
        <r>
          <rPr>
            <b/>
            <sz val="8"/>
            <rFont val="Arial"/>
            <family val="2"/>
          </rPr>
          <t>The multiple of investment (ex-dividends) that
each type of security gets. This is a straight
multiple with no discounting for the time value of
money. The value of founders' noncash
contributions are included as investments in this
computation.
(variable Return_Multiple)</t>
        </r>
      </text>
    </comment>
    <comment ref="B197" authorId="0" shapeId="0">
      <text>
        <r>
          <rPr>
            <b/>
            <sz val="8"/>
            <rFont val="Arial"/>
            <family val="2"/>
          </rPr>
          <t>Investment rounds, used for plotting
(variable Rounds_plt)</t>
        </r>
      </text>
    </comment>
    <comment ref="B199" authorId="0" shapeId="0">
      <text>
        <r>
          <rPr>
            <b/>
            <sz val="8"/>
            <rFont val="Arial"/>
            <family val="2"/>
          </rPr>
          <t>(variable Scenarios_Invest_Dim)</t>
        </r>
      </text>
    </comment>
    <comment ref="B203" authorId="0" shapeId="0">
      <text>
        <r>
          <rPr>
            <b/>
            <sz val="8"/>
            <rFont val="Arial"/>
            <family val="2"/>
          </rPr>
          <t>Types of securities, used for plotting
(variable Securities_plt)</t>
        </r>
      </text>
    </comment>
    <comment ref="B205" authorId="0" shapeId="0">
      <text>
        <r>
          <rPr>
            <b/>
            <sz val="8"/>
            <rFont val="Arial"/>
            <family val="2"/>
          </rPr>
          <t>Number of common shares that originated from
conversion or exercise of each type of security or
sale of common shares, recorded at the end of each
investment round
(variable Shares_Common_by_Origin)</t>
        </r>
      </text>
    </comment>
    <comment ref="B209" authorId="0" shapeId="0">
      <text>
        <r>
          <rPr>
            <b/>
            <sz val="8"/>
            <rFont val="Arial"/>
            <family val="2"/>
          </rPr>
          <t>Factor by which common shares are split before the
start of each investment round
(variable Split_Factor_Start)</t>
        </r>
      </text>
    </comment>
    <comment ref="B211" authorId="0" shapeId="0">
      <text>
        <r>
          <rPr>
            <b/>
            <sz val="8"/>
            <rFont val="Arial"/>
            <family val="2"/>
          </rPr>
          <t>The number of units of each type of security
outstanding or transacted at each phase in each
investment round. For convertible notes, share
numbers are shown as zero. Warrants and options
can be exercised for common shares on one-for-one
basis. "Net" means net of conversions and
exercises.
The transaction phases within each funding round
are:
* Start = outstanding securities at the beginning
of the round
* New Sales = sales of new securities in the
round
* Post Sales = outstanding securities after sale
of new securities
* Convert = securities being converted (notes) or
exercised (warrants and options)
* End = outstanding securities after conversions
are executed, which is the end of the round
Splits occur between rounds, and are included in
Start totals.
(variable Units_Net)</t>
        </r>
      </text>
    </comment>
    <comment ref="B221" authorId="0" shapeId="0">
      <text>
        <r>
          <rPr>
            <b/>
            <sz val="8"/>
            <rFont val="Arial"/>
            <family val="2"/>
          </rPr>
          <t>Numbers of new warrants and options sold, by
investment round. Sales of new convertible notes,
preferred stock and common stock are input as new
investment, from which new shares are computed.
(variable Units_New)</t>
        </r>
      </text>
    </comment>
    <comment ref="B223" authorId="0" shapeId="0">
      <text>
        <r>
          <rPr>
            <b/>
            <sz val="8"/>
            <rFont val="Arial"/>
            <family val="2"/>
          </rPr>
          <t>Numbers of new warrants and options sold, by
investment round, for investment scenario 1. Sales
of new convertible notes, preferred stock and
common stock are input as new investment, from
which new shares are computed.
(variable Units_New_Sc0)</t>
        </r>
      </text>
    </comment>
  </commentList>
</comments>
</file>

<file path=xl/sharedStrings.xml><?xml version="1.0" encoding="utf-8"?>
<sst xmlns="http://schemas.openxmlformats.org/spreadsheetml/2006/main" count="1299" uniqueCount="928">
  <si>
    <t>:A:-1:Event_Date_Sc0</t>
  </si>
  <si>
    <t>Price_Unit_New_pct["Securities.Conv_Note.Series_A"]|=1</t>
  </si>
  <si>
    <t>Dividend_Common</t>
  </si>
  <si>
    <t>Convert_Trigger_Invest_Amt</t>
  </si>
  <si>
    <t>Invest by Origin Conv Notes</t>
  </si>
  <si>
    <t>:A:-1:Invest_End_Opt_plt</t>
  </si>
  <si>
    <t>OptionWar_Exercise_Amt["Phases.Convert"]</t>
  </si>
  <si>
    <t>Display Item As</t>
  </si>
  <si>
    <t>Investment_Net["Phases.New_Sales"]</t>
  </si>
  <si>
    <t>:A:-1:Investment_Net_New_plt</t>
  </si>
  <si>
    <t>:A:0:Rounds_plt</t>
  </si>
  <si>
    <t>Price_Premium_pct["Securities.Common", "Rounds.Exit"]|=C39</t>
  </si>
  <si>
    <t>Initial guess at internal rate of return of the cash flow for holders of each series and type of security, to start the iterative solution for the IRR</t>
  </si>
  <si>
    <t>:A:-1:Dividend_by_Origin</t>
  </si>
  <si>
    <t>Convert_Trigger_Value_pct["Securities.Preferred.Series_A"]|=0.50</t>
  </si>
  <si>
    <t>:A:0:Convert_Trigger_Invest_Amt</t>
  </si>
  <si>
    <t>:D:2:Securities.Conv_Note.Series_B</t>
  </si>
  <si>
    <t>Net new investment in each investment round, segmented by type of security. Used in plots.</t>
  </si>
  <si>
    <t>Net Units</t>
  </si>
  <si>
    <t>:A:-1:Return_Multiple</t>
  </si>
  <si>
    <t>Dimension Index</t>
  </si>
  <si>
    <t>Dividend paid on common stock, paid at the beginning of each investment round</t>
  </si>
  <si>
    <t>Price_Premium_pct["Securities.Option.Series_A", "Rounds.Seed"]|=0</t>
  </si>
  <si>
    <t>Price_Premium_pct["Securities.Option.Series_B", "Rounds.Exit"]|=C42</t>
  </si>
  <si>
    <t>The amount of funds available for payout to each type of security at phase End (after conversion of notes and exercise of warrants and options) of the last investment round. The common payout pool covers common shares, including exercised warrants and options.</t>
  </si>
  <si>
    <t>Firm_Value_Start_Sc0["Rounds.Exit"]|=1000000</t>
  </si>
  <si>
    <t>Event_Date_Sc0["Rounds.Exit"]|=date(2010, 11*3-3, 1)</t>
  </si>
  <si>
    <t>Investment_New_Sc0["Securities.Option.Series_A", "Rounds.Exit"]|=0</t>
  </si>
  <si>
    <t>Investment_New_Sc0["Securities.Common", "Rounds.Seed"]|=1</t>
  </si>
  <si>
    <t>IRR_Initial_Guess_Yr["Securities.Warrant"]|=0.50</t>
  </si>
  <si>
    <t>:A:-1:Converting_pct</t>
  </si>
  <si>
    <t>if(Investment_by_Origin["Securities.Common", "Phases.Post_Sales"]+Investment_by_Origin["Securities.Preferred", "Phases.Post_Sales"]+Investment_by_Origin["Securities.Conv_Note", "Phases.Post_Sales"]&gt;=var(Convert_Trigger_Invest_Amt), 1, 0)</t>
  </si>
  <si>
    <t>prevde(0.10, "Rounds")</t>
  </si>
  <si>
    <t>Units 'in the Money'</t>
  </si>
  <si>
    <t>:A:-1:OptionWar_Exercise_Amt</t>
  </si>
  <si>
    <t>Price_Premium_pct["Securities.Conv_Note.Series_B", "Rounds.Exit"]|=C35</t>
  </si>
  <si>
    <t xml:space="preserve">  Exit</t>
  </si>
  <si>
    <t>Payout</t>
  </si>
  <si>
    <t>:D:1:Convert_Conditions</t>
  </si>
  <si>
    <t>Lastd("Phases", Units_Net)/(Lastd("Phases", Units_Net)+OptionWar_in_Money["Securities"])*Payout_Pool_End</t>
  </si>
  <si>
    <t>Split_Factor_Start</t>
  </si>
  <si>
    <t>:A:0:Discount_Rate_Yr</t>
  </si>
  <si>
    <t>:A:0:Invest_by_Origin_exDiv</t>
  </si>
  <si>
    <t>Discount_Rate_Yr["Securities.Option.Series_A"]|=0.30</t>
  </si>
  <si>
    <t>Rounds, Securities.Option</t>
  </si>
  <si>
    <t>:A:0:Liq_Multiple</t>
  </si>
  <si>
    <t>:D:0:Phases</t>
  </si>
  <si>
    <t>:A:-1:Convert_Trigger_Invest_Amt</t>
  </si>
  <si>
    <t>:A:0:Invest_by_Origin_War_plt</t>
  </si>
  <si>
    <t>Event_Date_Sc0</t>
  </si>
  <si>
    <t>The types of securities and the series within each type.
* A convertible note is a loan that is convertible to common stock subject to certain restrictions of time and circumstances.
* Preferred stock is equity that has preference rights over common stock in payouts from the company, usually accrues a dividend in each time period, may be convertible to common stock under some circumstances, and may have preferential voting rights.
* A warrant is an option that is issued by and guaranteed by the company (whereas options are not so guaranteed)
* An option means a "call option" to buy one share of common stock at a fixed "exercise price" before the end of life of the option.
You can add new types of securities and new rounds in ModelSheet, but not in exported spreadsheets.</t>
  </si>
  <si>
    <t>:A:-1:Dividend</t>
  </si>
  <si>
    <t>Scenarios_Invest_Dim</t>
  </si>
  <si>
    <t>ifm(isleafd("rounds"), sum(rangedru("Securities", Payout_by_Origin)), "")</t>
  </si>
  <si>
    <t>Round A</t>
  </si>
  <si>
    <t>Gross investment including value of converted securities, and excluding preferred dividends and interest payments on notes, segmented by type of security, by investment round</t>
  </si>
  <si>
    <t>The percentage of the entire payout that is paid to each type of security in the final (exit) round</t>
  </si>
  <si>
    <t>Price_Unit_New_pct["Securities.Conv_Note.Series_B"]|=1</t>
  </si>
  <si>
    <t>Dividend_pct_Yr*prevde(0, "Rounds", Lastd("Phases", Investment_Net))*var(Event_Date-prevde(firstd("Rounds", Event_Date), "Rounds", Event_Date))/365+Dividend_Common*prevde(0, "Rounds", Shares_Common_by_Origin/Lastd("Phases", Units_Net["Securities.Common"]))</t>
  </si>
  <si>
    <t>:A:0:Payout_EndLast</t>
  </si>
  <si>
    <t>Price New Unit</t>
  </si>
  <si>
    <t>:A:0:OptionWar_Exercise_Amt</t>
  </si>
  <si>
    <t>:A:0:Invest_by_Origin_Opt_plt</t>
  </si>
  <si>
    <t>Convert_Trigger_Value_pct["Securities.Common"]|=0.50</t>
  </si>
  <si>
    <t>:A:0:Dividend_Common</t>
  </si>
  <si>
    <t>:A:-1:Invest_by_Origin_Preferred_plt</t>
  </si>
  <si>
    <t>:A:-1:Payout_Pool_EndLast</t>
  </si>
  <si>
    <t>Invest End of Round Common</t>
  </si>
  <si>
    <t>Investment_New_Sc0["Securities.Warrant", "Rounds.Round_A"]|=0</t>
  </si>
  <si>
    <t>Total As</t>
  </si>
  <si>
    <t>New Sales</t>
  </si>
  <si>
    <t>:D:0:Securities.Option.Series_B</t>
  </si>
  <si>
    <t>Securities</t>
  </si>
  <si>
    <t>:A:0:Event_Date</t>
  </si>
  <si>
    <t>Trigger Invest</t>
  </si>
  <si>
    <t>var(ifm(and(dimitemnum("Rounds")=1, diminfo("Securities", 0)="Common"), 1, 0))</t>
  </si>
  <si>
    <t>ABC Corp.</t>
  </si>
  <si>
    <t>:A:-1:Dividend_pct_Yr</t>
  </si>
  <si>
    <t>Convert_Liq_Premium_pct["Securities.Option.Series_A"]|=0</t>
  </si>
  <si>
    <t>Investment_New_Sc0["Securities.Option.Series_B", "Rounds.Seed"]|=0</t>
  </si>
  <si>
    <t>Level As</t>
  </si>
  <si>
    <t>Payout_by_Origin_pct_LastRnd</t>
  </si>
  <si>
    <t xml:space="preserve">  Trigger_Date</t>
  </si>
  <si>
    <t>:A:0:Conversion_Decisions_Detail</t>
  </si>
  <si>
    <t>Phases, Securities</t>
  </si>
  <si>
    <t>New Unit Price %</t>
  </si>
  <si>
    <t>:D:0:Securities.Preferred.Series_A</t>
  </si>
  <si>
    <t>Units_New_Sc0["Securities.Conv_Note.Series_A", "Rounds.Seed"]|=0/3/10</t>
  </si>
  <si>
    <t>Firm_Value_Start_Sc0["Rounds.Round_A"]|=1000000</t>
  </si>
  <si>
    <t>Convert_Liq_Premium_pct</t>
  </si>
  <si>
    <t>Company Name</t>
  </si>
  <si>
    <t>Price_Common_Init[]|</t>
  </si>
  <si>
    <t>Units_New</t>
  </si>
  <si>
    <t>Units_Net</t>
  </si>
  <si>
    <t>Investment_New_Sc0["Securities.Preferred.Series_A", "Rounds.Exit"]|=0</t>
  </si>
  <si>
    <t>:A:-1:Liq_Multiple</t>
  </si>
  <si>
    <t>:D:1:Securities</t>
  </si>
  <si>
    <t>Price_Premium_pct["Securities.Option.Series_A", "Rounds.Round_A"]|=B43</t>
  </si>
  <si>
    <t>:WS:</t>
  </si>
  <si>
    <t>:A:-1:Payout_by_Origin_pct_LastRnd</t>
  </si>
  <si>
    <t>:A:0:Dividend_by_Origin_Last</t>
  </si>
  <si>
    <t>Firstd("Phases", Invest_by_Origin_exDiv)+Invest_by_Origin_exDiv["Phases.New_Sales"]</t>
  </si>
  <si>
    <t>Price_Common_Init</t>
  </si>
  <si>
    <t>Dividend_pct_Yr["Securities.Warrant"]|=0</t>
  </si>
  <si>
    <t>Units_New*OptionWar_Exercise_Price</t>
  </si>
  <si>
    <t>ifm(isleafd("Rounds"), Payout_End/Payout_End["Securities"], "")</t>
  </si>
  <si>
    <t>Converting_pct*Units_Net["Phases.Post_Sales"]</t>
  </si>
  <si>
    <t>Rounds, Securities.Preferred</t>
  </si>
  <si>
    <t>Net investment at the end of each investment round, segmented by type of security. Used in plots.</t>
  </si>
  <si>
    <t xml:space="preserve">  Liquidation</t>
  </si>
  <si>
    <t>Trigger Price</t>
  </si>
  <si>
    <t>Roll-up:</t>
  </si>
  <si>
    <t>Invest by Origin Preferred</t>
  </si>
  <si>
    <t>Convert_Trigger_Date["Securities.Option.Series_A"]|=date(2011,4,1)</t>
  </si>
  <si>
    <t>prevde(0, "Rounds", Shares_Common_by_Origin)*Split_Factor_Start+Units_Net["Phases.New_Sales"]</t>
  </si>
  <si>
    <t>Company_Name[]|</t>
  </si>
  <si>
    <t>OptionWar_Exercise_Price</t>
  </si>
  <si>
    <t>Units_New_Sc0["Securities.Common", "Rounds.Exit"]|=0/3/5</t>
  </si>
  <si>
    <t>Rounds, Securities.Common</t>
  </si>
  <si>
    <t>:A:0:Price_Unit_New_pct</t>
  </si>
  <si>
    <t>Scenarios_Value</t>
  </si>
  <si>
    <t>:A:-1:OptionWar_in_Money</t>
  </si>
  <si>
    <t>:A:0:Units_New_Sc0</t>
  </si>
  <si>
    <t>:D:1:Rounds</t>
  </si>
  <si>
    <t>Firstd("Phases", Investment_by_Origin)+Investment_by_Origin["Phases.New_Sales"]</t>
  </si>
  <si>
    <t>Plot Support'!Invest_End_Conv_plt</t>
  </si>
  <si>
    <t>Convert_Trigger_Invest_Amt["Securities.Conv_Note.Series_A"]|=1000000</t>
  </si>
  <si>
    <t>Investment_New_Sc0["Securities.Preferred.Series_A", "Rounds.Seed"]|=0</t>
  </si>
  <si>
    <t>:A:-1:Firm_Value_Start_Sc0</t>
  </si>
  <si>
    <t>Cumulative gross investment in common stock held at the end of each investment round. Includes dividends. Used for plotting.</t>
  </si>
  <si>
    <t>Units_New_Sc0["Securities.Preferred.Series_A", "Rounds.Round_A"]|=0/3/5</t>
  </si>
  <si>
    <t>Payout_EndLast_pct</t>
  </si>
  <si>
    <t>Liq_Multiple["Securities.Preferred.Series_A"]|=1</t>
  </si>
  <si>
    <t>Investment_Net["Securities.Conv_Note", "Phases.End"]</t>
  </si>
  <si>
    <t>Price_Unit_New["Securities.Option.Series_A", "Rounds.Seed"]|=max(0, B92*Prices!B18+B92*(-B102))</t>
  </si>
  <si>
    <t>Rounds, Securities</t>
  </si>
  <si>
    <t>(Ranges)'!Securities_plt</t>
  </si>
  <si>
    <t>Units_New_Sc0["Securities.Conv_Note.Series_B", "Rounds.Seed"]|=0/3/10</t>
  </si>
  <si>
    <t>:A:-1:Invest_by_Origin_exDiv_LastRnd</t>
  </si>
  <si>
    <t>Company_Name</t>
  </si>
  <si>
    <t>Firstd("Phases", Firm_Value)+Firm_Value["Phases.New_Sales"]</t>
  </si>
  <si>
    <t>Price_Unit_New["Securities.Option.Series_A", "Rounds.Round_A"]|=max(0, B92*Prices!C18+B92*(-B102))</t>
  </si>
  <si>
    <t>:A:-1:Convert_Trigger_Value_pct</t>
  </si>
  <si>
    <t>Invest_End_Conv_plt</t>
  </si>
  <si>
    <t>Plot Support'!Invest_by_Origin_Opt_plt</t>
  </si>
  <si>
    <t>IRR Initial Guess (Yr)</t>
  </si>
  <si>
    <t>Dividend_pct_Yr*prevde(0, "Rounds", Lastd("Phases", Investment_Net))*var(datediff(Event_Date, prevde(firstd("Rounds", Event_Date), "Rounds", Event_Date)))/365</t>
  </si>
  <si>
    <t>dimitemnum("Scenarios_Value")</t>
  </si>
  <si>
    <t>prevde(var(Firm_Value_Start)+Investment_Net["Securities", "Phases.New_Sales"]+OptionWar_Exercise_Amt["Securities", "Phases.Convert"], "Securities", Payout_Pool_End-Payout_End, 1, 0)</t>
  </si>
  <si>
    <t>Price_Unit_New["Securities.Option.Series_A", "Rounds.Exit"]|=max(0, B92*Prices!D18+B92*(-B102))</t>
  </si>
  <si>
    <t>:A:0:Firm_Value_Start_Sc0</t>
  </si>
  <si>
    <t xml:space="preserve">  Option</t>
  </si>
  <si>
    <t>Invest_End_Preferred_plt</t>
  </si>
  <si>
    <t>:A:0:Units_Net</t>
  </si>
  <si>
    <t>Conv Discount %</t>
  </si>
  <si>
    <t>:A:-1:Scenarios_Invest_Dim</t>
  </si>
  <si>
    <t>Valuation of the firm at the start of each investment round</t>
  </si>
  <si>
    <t>Liq_Multiple["Securities.Common"]|=0</t>
  </si>
  <si>
    <t xml:space="preserve">    Series_A</t>
  </si>
  <si>
    <t>Convert_Trigger_Invest_Amt["Securities.Option.Series_A"]|=1500000</t>
  </si>
  <si>
    <t>Liq_Multiple["Securities.Conv_Note.Series_B"]|=1</t>
  </si>
  <si>
    <t>Price_Unit_New["Securities.Conv_Note.Series_B", "Rounds.Exit"]|='(Other Variables)'!D19</t>
  </si>
  <si>
    <t>Numbers of new warrants and options sold, by investment round, for investment scenario 1. Sales of new convertible notes, preferred stock and common stock are input as new investment, from which new shares are computed.</t>
  </si>
  <si>
    <t>:A:0:Units_New</t>
  </si>
  <si>
    <t>Payout Pool</t>
  </si>
  <si>
    <t>Name of the company</t>
  </si>
  <si>
    <t>if(Convert_Trigger_Value_pct*Firm_Value["Phases.Post_Sales"]&gt;Investment_by_Origin["Securities.Conv_Note", "Phases.Post_Sales"], 1, 0)</t>
  </si>
  <si>
    <t>Percent of outstanding convertible notes and preferred stock converting; and percent of outstanding warrants and options exercising in each investment round.
The model starts with default decisions for what securities to exercise or convert and when. These default decisions are computed in the variable 'Conversion Decisions Default'.
You can override the default conversion decisions by entering new values.</t>
  </si>
  <si>
    <t>Cumulative gross investment in preferred stock, for each investment round. Includes dividends. Used for plotting.</t>
  </si>
  <si>
    <t>lastd("Rounds", Payout_Pool_End)</t>
  </si>
  <si>
    <t>Firstd("Phases", OptionWar_Exercise_Amt)+OptionWar_Exercise_Amt["Phases.New_Sales"]</t>
  </si>
  <si>
    <t>Price_Premium_pct["Securities.Conv_Note.Series_A", "Rounds.Exit"]|=C36</t>
  </si>
  <si>
    <t>Investment_New_Sc0["Securities.Conv_Note.Series_B", "Rounds.Seed"]|=0</t>
  </si>
  <si>
    <t>New Investment</t>
  </si>
  <si>
    <t>Units_New_Sc0["Securities.Option.Series_A", "Rounds.Round_A"]|=0/3/10</t>
  </si>
  <si>
    <t>Cumulative gross investment in common stock, for each investment round. Includes dividends. Used for plotting.</t>
  </si>
  <si>
    <t>:A:-1:Payout_by_Origin_Last</t>
  </si>
  <si>
    <t>Dividend in kind for convertible notes (before conversion), preferred stock (before conversion), and common stock, paid at start of each investment round. The dividends are segmented by the original type and series of security whose purchase earned the dividend (not by the current type and series of security that earned the dividend).</t>
  </si>
  <si>
    <t>Units_New_Sc0["Securities.Conv_Note.Series_A", "Rounds.Exit"]|=0/3/10</t>
  </si>
  <si>
    <t>Seed</t>
  </si>
  <si>
    <t>Conversion Price</t>
  </si>
  <si>
    <t>Convert_Trigger_Date["Securities.Conv_Note.Series_A"]|=date(2011,4,1)</t>
  </si>
  <si>
    <t>Conversion_Decisions_Default</t>
  </si>
  <si>
    <t>date(2010, 11*dimitemnum("Rounds")-3, 1)</t>
  </si>
  <si>
    <t>Convert_Trigger_Invest_Amt["Securities.Preferred.Series_A"]|=1500000</t>
  </si>
  <si>
    <t>The default conversion decision for each security is positive (negative) if all these built-in conditions are satisfied (not satisfied).
1) The date of the current round has reached the trigger date
2) The sum of investments in common, preferred and notes exceeds the trigger investment threshhold
3) For notes and preferred: the value of the company exceeds a safety criterion (investment in notes + preferred must be less than a stated fraction of firm value).
4) For notes and preferred: value of commmon shares obtained &gt; (1+premium) * liquidation preference.
5) For warrants and options: common share price &gt;= exercise price.
The cell values have these meanings:
+1: conversion condition is satisfied
0 : conversion condition is not satisfied
-1: means conversion condition is not relevant
You can override these conversion decisions by entering values in variable 'Converting %'.</t>
  </si>
  <si>
    <t xml:space="preserve">  Common</t>
  </si>
  <si>
    <t>Investment_New_Sc0["Securities.Conv_Note.Series_B", "Rounds.Round_A"]|=0</t>
  </si>
  <si>
    <t>Dividend rate for preferred stock, and interest rate paid on convertible notes before conversion</t>
  </si>
  <si>
    <t>:A:0:Payout_Pool_EndLast</t>
  </si>
  <si>
    <t>:A:0:Convert_Liq_Premium_pct</t>
  </si>
  <si>
    <t>:A:0:Liq_Preference_End</t>
  </si>
  <si>
    <t>1000000</t>
  </si>
  <si>
    <t>Rounds, Securities.Conv_Note, Convert_Conditions.Trigger_Value_pct</t>
  </si>
  <si>
    <t>:A:-1:Units_New_Sc0</t>
  </si>
  <si>
    <t>Securities_plt</t>
  </si>
  <si>
    <t>Price_Premium_pct["Securities.Option.Series_B", "Rounds.Seed"]|=0</t>
  </si>
  <si>
    <t>:A:-1:Event_Date</t>
  </si>
  <si>
    <t>Convert_Trigger_Value_pct["Securities.Conv_Note.Series_A"]|=0.50</t>
  </si>
  <si>
    <t>The amount of funds available for payout to each type of security at phase End (after conversion of notes and exercise of warrants and options), in each investment round. The common payout pool covers common shares, including exercised warrants and options.</t>
  </si>
  <si>
    <t>prevde(0, "Rounds", Shares_Common_by_Origin)*Split_Factor_Start+Units_Net["Phases.Convert"]</t>
  </si>
  <si>
    <t>Price_Unit_New_pct["Securities.Preferred.Series_A"]|=1</t>
  </si>
  <si>
    <t>Initial Common Price</t>
  </si>
  <si>
    <t>:D:0:Securities</t>
  </si>
  <si>
    <t>Price_Premium_pct["Securities.Warrant", "Rounds.Seed"]|=0</t>
  </si>
  <si>
    <t>ifm(and(isleafd("Securities"), isleafd("Rounds")), abs(product(ranged("Convert_Conditions"))), " ")</t>
  </si>
  <si>
    <t>IRR_Cash_Flow</t>
  </si>
  <si>
    <t>:A:0:IRR_Cash_Flow</t>
  </si>
  <si>
    <t>:D:2:Rounds</t>
  </si>
  <si>
    <t>Price_Unit_New["Securities.Option.Series_B", "Rounds.Seed"]|=max(0, B91*Prices!B18+B91*(-B101))</t>
  </si>
  <si>
    <t>:A:-1:Invest_by_Origin_Common_plt</t>
  </si>
  <si>
    <t>Plot Support'!Invest_by_Origin_Common_plt</t>
  </si>
  <si>
    <t>(Ranges)'!Payout_EndLast</t>
  </si>
  <si>
    <t>Converting_pct["Securities.Common", "Rounds.Seed"]|=B48</t>
  </si>
  <si>
    <t>:D:-1:Rounds</t>
  </si>
  <si>
    <t>Convert_Liq_Premium_pct["Securities.Option.Series_B"]|=0</t>
  </si>
  <si>
    <t>:D:0:Securities.Conv_Note</t>
  </si>
  <si>
    <t>Invest End Round Notes</t>
  </si>
  <si>
    <t>0</t>
  </si>
  <si>
    <t>Convert_Trigger_Value_pct["Securities.Option.Series_B"]|=0.50</t>
  </si>
  <si>
    <t>Payout_End</t>
  </si>
  <si>
    <t>max(0, var(Price_Unit_Start["Securities.Common"])-OptionWar_Exercise_Price)</t>
  </si>
  <si>
    <t>Dividend by Origin</t>
  </si>
  <si>
    <t>If(Lastd("Rounds", Lastd("Phases", Invest_by_Origin_exDiv))+0*0=0, 0, (Lastd("Rounds", Payout_by_Origin)+sum(ranged("Rounds", Dividend)))/(Lastd("Rounds", Lastd("Phases", Invest_by_Origin_exDiv))+0*0))</t>
  </si>
  <si>
    <t>Rounds, Phases.Convert, Securities.Option</t>
  </si>
  <si>
    <t>:A:0:Firm_Value</t>
  </si>
  <si>
    <t>min(Payout_Pool_End, max(Liq_Preference_End, Lastd("Phases", Investment_Net)/Price_Unit_Conv*Price_Unit_Conv["Securities.Common"]))</t>
  </si>
  <si>
    <t>if((prevde(0, "Rounds", Investment_Net["Phases.End"])+Dividend+Investment_New)/(1-ConvNote_Discount_pct)&gt;(1+Convert_Liq_Premium_pct)*(prevde(0, "Rounds", Liq_Preference_End)+Investment_New*Liq_Multiple), 1, 0)</t>
  </si>
  <si>
    <t>Price_Unit_New["Securities.Common", "Rounds.Exit"]|='(Other Variables)'!D25</t>
  </si>
  <si>
    <t>Date at which securities can first be converted or exercised to obtain common stock. A date beyond the end of model time indicates that there is no trigger date for conversion of the security.</t>
  </si>
  <si>
    <t>ifm(isleafd("Rounds"), sum(rangedru("Securities", Shares_Common_by_Origin)), lastd("Rounds", Shares_Common_by_Origin))</t>
  </si>
  <si>
    <t>Liq_Preference_New</t>
  </si>
  <si>
    <t>:A:0:Invest_by_Origin_Preferred_plt</t>
  </si>
  <si>
    <t>Convert_Trigger_Invest_Amt["Securities.Common"]|=1500000</t>
  </si>
  <si>
    <t>:D:0:Securities.Conv_Note.Series_A</t>
  </si>
  <si>
    <t>Rounds, Securities.Preferred, Convert_Conditions.Liquidation</t>
  </si>
  <si>
    <t>Price_Unit_New["Securities.Conv_Note.Series_A", "Rounds.Seed"]|='(Other Variables)'!B20</t>
  </si>
  <si>
    <t>Payout_End_pct</t>
  </si>
  <si>
    <t>Security 2</t>
  </si>
  <si>
    <t>Discount_Rate_Yr["Securities.Conv_Note.Series_B"]|=0.30</t>
  </si>
  <si>
    <t>Units_New_Sc0["Securities.Option.Series_A", "Rounds.Seed"]|=0/3/10</t>
  </si>
  <si>
    <t>:A:0:Price_Unit_Conv</t>
  </si>
  <si>
    <t>:A:0:IRR_Initial_Guess_Yr</t>
  </si>
  <si>
    <t>Rounds, Phases.End, Securities.Common</t>
  </si>
  <si>
    <t>Rounds, Phases.Post_Sales</t>
  </si>
  <si>
    <t>:A:0:OptionWar_Exercise_Price</t>
  </si>
  <si>
    <t>Funds paid out that are imputed (if paid) to original investments in each type of security, at the end of the last investment round. Warrants and options are exercised if they are in the money. The common payout pool covers common shares, including exercised warrants and options.</t>
  </si>
  <si>
    <t>Invest by Origin Warrants</t>
  </si>
  <si>
    <t>:A:-1:Convert_Liq_Premium_pct</t>
  </si>
  <si>
    <t>Plot Support'!Investment_Net_End_plt</t>
  </si>
  <si>
    <t>:A:0:Invest_End_Preferred_plt</t>
  </si>
  <si>
    <t>A list of the funding rounds</t>
  </si>
  <si>
    <t xml:space="preserve">  Convert</t>
  </si>
  <si>
    <t>Payout_by_Origin_Last</t>
  </si>
  <si>
    <t>:A:0:Payout_by_Origin_pct</t>
  </si>
  <si>
    <t>Price_Unit_Start["Securities.Common"]*(1+Price_Premium_pct)</t>
  </si>
  <si>
    <t>Rounds, Phases.Start, Securities</t>
  </si>
  <si>
    <t>:D:0:Convert_Conditions.Liquidation</t>
  </si>
  <si>
    <t>Price_Premium_pct</t>
  </si>
  <si>
    <t>Investment_Net_New_plt</t>
  </si>
  <si>
    <t>Converting_pct*OptionWar_Exercise_Amt["Phases.Post_Sales"]</t>
  </si>
  <si>
    <t>Payout %</t>
  </si>
  <si>
    <t>max(0, Price_Unit_Conv["Securities.Common"]-OptionWar_Exercise_Price)</t>
  </si>
  <si>
    <t>Convert_Liq_Premium_pct["Securities.Conv_Note.Series_B"]|=0.2</t>
  </si>
  <si>
    <t>:A:-1:Dividend_Common</t>
  </si>
  <si>
    <t>Rounds, Phases.Convert</t>
  </si>
  <si>
    <t>IRR_Initial_Guess_Yr["Securities.Conv_Note.Series_A"]|=0.50</t>
  </si>
  <si>
    <t>Payout_by_Origin_pct</t>
  </si>
  <si>
    <t>:D:0:Rounds</t>
  </si>
  <si>
    <t>:A:0:Payout_by_Origin</t>
  </si>
  <si>
    <t>Investment_Net/Price_Unit_Start/(1-Price_Premium_pct)</t>
  </si>
  <si>
    <t>Rounds, Securities, Convert_Conditions.Trigger_Invest</t>
  </si>
  <si>
    <t>:A:0:Scenarios_Invest_Dim</t>
  </si>
  <si>
    <t>Investment_New_Sc0["Securities.Common", "Rounds.Exit"]|=0</t>
  </si>
  <si>
    <t>:D:0:Convert_Conditions</t>
  </si>
  <si>
    <t>Liq_Multiple["Securities.Option.Series_A"]|=0</t>
  </si>
  <si>
    <t>Investment_New_Sc0["Securities.Conv_Note.Series_A", "Rounds.Seed"]|=0</t>
  </si>
  <si>
    <t>Split Factor</t>
  </si>
  <si>
    <t>:A:0:Dividend_by_Origin</t>
  </si>
  <si>
    <t>Converting_pct["Securities.Conv_Note.Series_B", "Rounds.Round_A"]|=C44</t>
  </si>
  <si>
    <t>Annualized discount rates used in computation of present values of investor cash flows</t>
  </si>
  <si>
    <t>:A:-1:Scenarios_Value_Dim</t>
  </si>
  <si>
    <t>Investment_Net["Phases.Post_Sales"]-Investment_Net["Phases.Convert"]</t>
  </si>
  <si>
    <t>:A:0:Convert_Trigger_Value_pct</t>
  </si>
  <si>
    <t>:D:2:Phases</t>
  </si>
  <si>
    <t>Invest_by_Origin_Common_plt</t>
  </si>
  <si>
    <t>Units_New_Sc0["Securities.Option.Series_B", "Rounds.Exit"]|=0/3/10</t>
  </si>
  <si>
    <t>Shares_Common_by_Origin</t>
  </si>
  <si>
    <t>:A:0:Invest_by_Origin_exDiv_LastRnd</t>
  </si>
  <si>
    <t>The amount of new liquidiation preference that is due to each class of security (before anything is paid to holders of junior securities, in the event of liquidiation), at the last phase (End) of each round</t>
  </si>
  <si>
    <t>Convert_Trigger_Date["Securities.Common"]|=date(2011,4,1)</t>
  </si>
  <si>
    <t>Invest by Origin ex-Div</t>
  </si>
  <si>
    <t>prevde(0, "Rounds", Lastd("Phases", Units_Net))*Split_Factor_Start</t>
  </si>
  <si>
    <t xml:space="preserve">  Start</t>
  </si>
  <si>
    <t>diminfo("Securities", 7, ", ")</t>
  </si>
  <si>
    <t>Common</t>
  </si>
  <si>
    <t>Payout by Origin</t>
  </si>
  <si>
    <t>Liq_Multiple["Securities.Warrant"]|=0</t>
  </si>
  <si>
    <t>Dividend_pct_Yr["Securities.Common"]|=0</t>
  </si>
  <si>
    <t>Units_New_Sc0["Securities.Conv_Note.Series_A", "Rounds.Round_A"]|=0/3/10</t>
  </si>
  <si>
    <t>Discount_Rate_Yr["Securities.Option.Series_B"]|=0.30</t>
  </si>
  <si>
    <t>:D:0:Securities.Option.Series_A</t>
  </si>
  <si>
    <t>if((prevde(0, "Rounds", Investment_Net["Phases.End"])+Dividend+Investment_New)/(1+Price_Premium_pct)&gt;(1+Convert_Liq_Premium_pct)*prevde(0, "Rounds", Liq_Preference_End)+Investment_New*Liq_Multiple, 1, 0)</t>
  </si>
  <si>
    <t>:A:0:Liq_Preference_EndLast</t>
  </si>
  <si>
    <t>ifm(isleafd("Rounds"), if(sum(rangedru("Securities", Units_New))=0, 0, sumproduct(rangedru("Securities", Price_Unit_Start), rangedru("Securities", Units_New))/sum(rangedru("Securities", Units_New))), "")</t>
  </si>
  <si>
    <t>Types of securities, used for plotting</t>
  </si>
  <si>
    <t>Scenarios_Value_Dim</t>
  </si>
  <si>
    <t>Discount_Rate_Yr["Securities.Conv_Note.Series_A"]|=0.30</t>
  </si>
  <si>
    <t>Investment_New_Sc0["Securities.Preferred.Series_A", "Rounds.Round_A"]|=0</t>
  </si>
  <si>
    <t>Investment_New</t>
  </si>
  <si>
    <t xml:space="preserve">  Round_A</t>
  </si>
  <si>
    <t>Rounds, Securities.Warrant, Convert_Conditions.Trigger_Price</t>
  </si>
  <si>
    <t xml:space="preserve">  Trigger_Price</t>
  </si>
  <si>
    <t>Invest End Round Options</t>
  </si>
  <si>
    <t>OptionWar_Exercise_Amt["Phases.Post_Sales"]-OptionWar_Exercise_Amt["Phases.Convert"]</t>
  </si>
  <si>
    <t>""</t>
  </si>
  <si>
    <t>Rounds, Phases.New_Sales, Securities.Common</t>
  </si>
  <si>
    <t>Cumulative gross investment held in warrants at the end of each investment round. Includes dividends. Used for plotting.</t>
  </si>
  <si>
    <t>Rounds, Phases.New_Sales, Securities.Warrant</t>
  </si>
  <si>
    <t>Securities, Rounds</t>
  </si>
  <si>
    <t>Invest End Round Preferred</t>
  </si>
  <si>
    <t>The amount of funds that would be paid to each type of security if liquidation occurs at the end of the last investment round. Warrants and options are exercised if they are in the money. The common payout pool covers common shares, including exercised warrants and options.</t>
  </si>
  <si>
    <t>:D:2:Convert_Conditions.Trigger_Date</t>
  </si>
  <si>
    <t>Maximum fraction of the value of a firm that can be in senior securities in order that a series of convertible securities converts. (Other conversion criteria involve dates and minimum equity funding raised by the company.)</t>
  </si>
  <si>
    <t>Cash flows used to compute present values and internal rates of return for each series and type of security. Includes founders non-cash contributions in the first round and payouts in the last round.</t>
  </si>
  <si>
    <t>Liq Multiple</t>
  </si>
  <si>
    <t>Share Price</t>
  </si>
  <si>
    <t>Liq_Multiple</t>
  </si>
  <si>
    <t>Firm_Value</t>
  </si>
  <si>
    <t xml:space="preserve">  Trigger_Invest</t>
  </si>
  <si>
    <t>Dividend in kind for convertible notes (before conversion), preferred stock (before conversion), and common stock, paid at start of lsat investment round. The dividends are segmented by the original type and series of security whose purchase earned the dividend (not by the current type and series of security that earned the dividend).</t>
  </si>
  <si>
    <t>Investment_by_Origin["Securities.Preferred", "Phases.End"]</t>
  </si>
  <si>
    <t xml:space="preserve">  Trigger_Value_pct</t>
  </si>
  <si>
    <t>Price at which new warrants and options are purchased. Warrant and option prices are based on current stock price, ignoring the variance of stock price over time.</t>
  </si>
  <si>
    <t>Invest_by_Origin_exDiv</t>
  </si>
  <si>
    <t>Minimum amount of equity capital that the company must raise before securities can be converted or exercised to obtain common stock. An amount greater than the capitalization of the company indicates that the security cannot be converted (or exercised).</t>
  </si>
  <si>
    <t>Investment_by_Origin</t>
  </si>
  <si>
    <t>Number of common shares that originated from conversion or exercise of each type of security or sale of common shares, recorded at the end of each investment round</t>
  </si>
  <si>
    <t>Price_Unit_New_pct</t>
  </si>
  <si>
    <t>Dividend in kind for convertible notes (before conversion), preferred stock (before conversion), and common stock, paid at start of each investment round</t>
  </si>
  <si>
    <t>Price_Unit_New</t>
  </si>
  <si>
    <t>Investment_Net_End_plt</t>
  </si>
  <si>
    <t>Plot Support'!Invest_by_Origin_Conv_plt</t>
  </si>
  <si>
    <t>:A:0:Return_Multiple</t>
  </si>
  <si>
    <t>:A:0:OptionWar_in_Money</t>
  </si>
  <si>
    <t>:D:0:Rounds.Seed</t>
  </si>
  <si>
    <t xml:space="preserve">  Seed</t>
  </si>
  <si>
    <t>Series B</t>
  </si>
  <si>
    <t>:A:-1:Price_Unit_Start</t>
  </si>
  <si>
    <t>Date of each investment round</t>
  </si>
  <si>
    <t>Split_Factor_Start["Rounds.Round_A"]|=1</t>
  </si>
  <si>
    <t>IRR_XIRR_Yr</t>
  </si>
  <si>
    <t>Factor by which common shares are split before the start of each investment round</t>
  </si>
  <si>
    <t>Payout_Pool_End</t>
  </si>
  <si>
    <t>Units_Net["Phases.New_Sales"]*Price_Unit_New</t>
  </si>
  <si>
    <t>Investment Scenarios</t>
  </si>
  <si>
    <t>:A:-1:Payout_Pool_End</t>
  </si>
  <si>
    <t>The amount of liquidiation preference that is due to each class of security (before anything is paid to holders of junior securities, in the event of liquidiation), at the last phase (End) of  the last round</t>
  </si>
  <si>
    <t>Convert_Liq_Premium_pct["Securities.Preferred.Series_A"]|=-0.2</t>
  </si>
  <si>
    <t>Converting_pct["Securities.Option.Series_B", "Rounds.Seed"]|=B51</t>
  </si>
  <si>
    <t>max(0, (Dividend+Investment_Net["Phases.New_Sales"])*Liq_Multiple)</t>
  </si>
  <si>
    <t>Conversion_Decisions_Detail</t>
  </si>
  <si>
    <t>Plot Support'!Invest_End_Opt_plt</t>
  </si>
  <si>
    <t>Converting_pct["Securities.Preferred.Series_A", "Rounds.Exit"]|=D47</t>
  </si>
  <si>
    <t>Investment_New_Sc0["Securities.Conv_Note.Series_A", "Rounds.Round_A"]|=0</t>
  </si>
  <si>
    <t>Lastd("Rounds", Payout_by_Origin_pct)</t>
  </si>
  <si>
    <t>var(if(Event_Date&gt;=Convert_Trigger_Date, 1, 0))</t>
  </si>
  <si>
    <t>Dividend_Common*prevde(0, "Rounds", Shares_Common_by_Origin/Lastd("Phases", Units_Net["Securities.Common"]))</t>
  </si>
  <si>
    <t>:A:-1:Firm_Value</t>
  </si>
  <si>
    <t>Rounds, Phases.Convert, Securities</t>
  </si>
  <si>
    <t>:D:1:Securities.Option</t>
  </si>
  <si>
    <t>ConvNote_Discount_pct["Securities.Conv_Note.Series_B"]|=0.30</t>
  </si>
  <si>
    <t>:A:-1:Shares_Common_by_Origin</t>
  </si>
  <si>
    <t>IRR_Initial_Guess_Yr["Securities.Common"]|=0.50</t>
  </si>
  <si>
    <t xml:space="preserve">  Post_Sales</t>
  </si>
  <si>
    <t>if(OptionWar_Exercise_Price&lt;Price_Unit_Conv["Securities.Common"], 1, 0)</t>
  </si>
  <si>
    <t>Warrant</t>
  </si>
  <si>
    <t>:A:-1:Conversion_Decisions_Default</t>
  </si>
  <si>
    <t>:A:0:Dividend</t>
  </si>
  <si>
    <t>ifm(isleafd("Rounds"), sum(rangedru("Securities", IRR_Cash_Flow)), "")</t>
  </si>
  <si>
    <t>Units_New_Sc0["Securities.Conv_Note.Series_B", "Rounds.Exit"]|=0/3/10</t>
  </si>
  <si>
    <t>Units_New_Sc0["Securities.Warrant", "Rounds.Exit"]|=0/3/5</t>
  </si>
  <si>
    <t>:A:-1:Invest_End_Conv_plt</t>
  </si>
  <si>
    <t>:A:0:Firm_Value_Start</t>
  </si>
  <si>
    <t>Converting_pct["Securities.Conv_Note.Series_A", "Rounds.Exit"]|=D45</t>
  </si>
  <si>
    <t>:D:2:Convert_Conditions</t>
  </si>
  <si>
    <t>Price_Premium_pct["Securities.Option.Series_B", "Rounds.Round_A"]|=B42</t>
  </si>
  <si>
    <t>:A:-1:Liq_Preference_EndLast</t>
  </si>
  <si>
    <t>:A:-1:Price_Premium_pct</t>
  </si>
  <si>
    <t>Total</t>
  </si>
  <si>
    <t>Converting_pct["Securities.Conv_Note.Series_A", "Rounds.Round_A"]|=C45</t>
  </si>
  <si>
    <t>:A:-1:Payout_End_pct</t>
  </si>
  <si>
    <t>Plot Support'!Invest_by_Origin_War_plt</t>
  </si>
  <si>
    <t>Display Label</t>
  </si>
  <si>
    <t>Converting_pct["Securities.Warrant", "Rounds.Exit"]|=D49</t>
  </si>
  <si>
    <t>:A:-1:Conversion_Decisions_Detail</t>
  </si>
  <si>
    <t>Invest_End_Opt_plt</t>
  </si>
  <si>
    <t>:A:-1:Invest_by_Origin_exDiv</t>
  </si>
  <si>
    <t>:D:0:Securities.Common</t>
  </si>
  <si>
    <t>Cumulative gross investment held in convertible notes, for each investment round. Used for plotting.</t>
  </si>
  <si>
    <t>:A:-1:Payout_by_Origin_pct</t>
  </si>
  <si>
    <t>Plot Support'!Rounds_plt</t>
  </si>
  <si>
    <t>Price_Premium_pct["Securities.Preferred.Series_A", "Rounds.Round_A"]|=B50</t>
  </si>
  <si>
    <t>:A:0:Price_Unit_Start</t>
  </si>
  <si>
    <t>Invest_End_Common_plt</t>
  </si>
  <si>
    <t>Firm_Value_Start_Sc0["Rounds.Seed"]|=1000000</t>
  </si>
  <si>
    <t>OptionWar_in_Money/(Lastd("Phases", Units_Net["Securities.Common"])+OptionWar_in_Money["Securities"])*Payout_Pool_End["Securities.Common"]</t>
  </si>
  <si>
    <t>Common Shares by Origin</t>
  </si>
  <si>
    <t>Rounds, Securities, Convert_Conditions</t>
  </si>
  <si>
    <t>:A:-1:Invest_by_Origin_Opt_plt</t>
  </si>
  <si>
    <t>The discount percent on prevailing common share price that accrue to holders of each series of convertible security at the time of conversion or exercise. This discount is a reward for investing early when the risk was presumed higher.</t>
  </si>
  <si>
    <t>Dividend_by_Origin_Last</t>
  </si>
  <si>
    <t>Units_New_Sc0["Securities.Warrant", "Rounds.Seed"]|=0/3/5</t>
  </si>
  <si>
    <t>Converting_pct["Securities.Preferred.Series_A", "Rounds.Round_A"]|=C47</t>
  </si>
  <si>
    <t>:D:2:Rounds.Seed</t>
  </si>
  <si>
    <t>Dividend_by_Origin</t>
  </si>
  <si>
    <t>Price_Premium_pct["Securities.Common", "Rounds.Round_A"]|=B39</t>
  </si>
  <si>
    <t>:D:0:Phases.Convert</t>
  </si>
  <si>
    <t>Investment_by_Origin["Securities.Warrant", "Phases.End"]</t>
  </si>
  <si>
    <t>:A:0:Invest_by_Origin_Common_plt</t>
  </si>
  <si>
    <t>:A:-1:OptionWar_Exercise_Price</t>
  </si>
  <si>
    <t>Variable</t>
  </si>
  <si>
    <t>:D:0:Convert_Conditions.Trigger_Price</t>
  </si>
  <si>
    <t>:D:0:Convert_Conditions.Trigger_Date</t>
  </si>
  <si>
    <t>End</t>
  </si>
  <si>
    <t>Liq Preference</t>
  </si>
  <si>
    <t>Firm_Value["Phases.End"]</t>
  </si>
  <si>
    <t>OptionWar_Exercise_Amt</t>
  </si>
  <si>
    <t>Convert_Trigger_Date["Securities.Option.Series_B"]|=date(2011,4,1)</t>
  </si>
  <si>
    <t>Price_Unit_New_pct["Securities.Option.Series_A"]|=1</t>
  </si>
  <si>
    <t>:A:-1:Payout_End</t>
  </si>
  <si>
    <t>Lastd("Rounds", Payout_by_Origin)</t>
  </si>
  <si>
    <t>:A:0:Shares_Common_by_Origin</t>
  </si>
  <si>
    <t>Rounds, Securities.Preferred, Convert_Conditions.Trigger_Value_pct</t>
  </si>
  <si>
    <t>:A:-1:Price_Unit_New_pct</t>
  </si>
  <si>
    <t>Plot Support'!Firm_Value_Start</t>
  </si>
  <si>
    <t>IRR_Initial_Guess_Yr["Securities.Option.Series_A"]|=0.50</t>
  </si>
  <si>
    <t>Rounds, Phases.New_Sales, Securities.Option</t>
  </si>
  <si>
    <t>Units_Net["Phases.Post_Sales"]+Units_Net["Phases.Convert", "Securities"]</t>
  </si>
  <si>
    <t>Rounds, Securities.Option, Convert_Conditions.Trigger_Price</t>
  </si>
  <si>
    <t>Convert_Trigger_Value_pct["Securities.Option.Series_A"]|=0.50</t>
  </si>
  <si>
    <t>min(Payout_Pool_End, max(Liq_Preference_End, Lastd("Phases", Units_Net)*Price_Unit_Conv["Securities.Common"]))</t>
  </si>
  <si>
    <t>ifm(isleafd("Rounds"), sum(rangedru("Securities", Payout_End)), "")</t>
  </si>
  <si>
    <t>The percentage of funds paid out that are imputed (if paid) to original investments in each type of security, at the end of each investment round. Warrants and options are exercised if they are in the money. The common payout pool covers common shares, including exercised warrants and options.</t>
  </si>
  <si>
    <t>The percentage of funds paid out that are imputed (if paid) to original investments in each type of security, at the end of the last investment round. Warrants and options are exercised if they are in the money. The common payout pool covers common shares, including exercised warrants and options.</t>
  </si>
  <si>
    <t>:D:0:Securities.Warrant</t>
  </si>
  <si>
    <t>Invest_by_Origin_Opt_plt</t>
  </si>
  <si>
    <t>:A:0:Dividend_pct_Yr</t>
  </si>
  <si>
    <t xml:space="preserve">    Series_B</t>
  </si>
  <si>
    <t>Preferred</t>
  </si>
  <si>
    <t>:D:0:Phases.New_Sales</t>
  </si>
  <si>
    <t>lastd("Rounds", Dividend_by_Origin)</t>
  </si>
  <si>
    <t>:D:0:Phases.Start</t>
  </si>
  <si>
    <t>Payout_EndLast</t>
  </si>
  <si>
    <t>ConvNote_Discount_pct["Securities.Conv_Note.Series_A"]|=0.30</t>
  </si>
  <si>
    <t xml:space="preserve">  Preferred</t>
  </si>
  <si>
    <t>Convert_Trigger_Value_pct["Securities.Conv_Note.Series_B"]|=0.50</t>
  </si>
  <si>
    <t>Rounds, Phases.End, Securities</t>
  </si>
  <si>
    <t>:A:-1:IRR_XIRR_Yr</t>
  </si>
  <si>
    <t>:A:0:Convert_Trigger_Date</t>
  </si>
  <si>
    <t>Convert_Trigger_Date["Securities.Conv_Note.Series_B"]|=date(2011,4,1)</t>
  </si>
  <si>
    <t>Investment_New_Sc0["Securities.Conv_Note.Series_B", "Rounds.Exit"]|=0</t>
  </si>
  <si>
    <t>Net New Invest</t>
  </si>
  <si>
    <t>:D:0:Securities.Conv_Note.Series_B</t>
  </si>
  <si>
    <t>Converting_pct["Securities.Option.Series_B", "Rounds.Exit"]|=D51</t>
  </si>
  <si>
    <t>:A:-1:Split_Factor_Start</t>
  </si>
  <si>
    <t>Units_Net["Phases.Post_Sales"]-Units_Net["Phases.Convert"]</t>
  </si>
  <si>
    <t>:A:0:Payout_End</t>
  </si>
  <si>
    <t>Discount_Rate_Yr</t>
  </si>
  <si>
    <t>Cumulative gross investment in options, for each investment round. Used for plotting.</t>
  </si>
  <si>
    <t>:A:-1:Firm_Value_End</t>
  </si>
  <si>
    <t>Convert_Trigger_Invest_Amt["Securities.Option.Series_B"]|=1500000</t>
  </si>
  <si>
    <t>Plot Support'!Invest_End_Common_plt</t>
  </si>
  <si>
    <t>IRR_Initial_Guess_Yr["Securities.Option.Series_B"]|=0.50</t>
  </si>
  <si>
    <t>Price at which securities convert to common stock in each investment round. Conversion occurs after sale of new securities in each round. Conversion prices in general differ from prices for sale of new securities in an earlier phase.
* Conversion price of notes is common share price less a discount percent specified by the note.
* Conversion price of preferred shares is common share price plus a specified preferred share price premium.
* Conversion price of common shares is the current common share price after completion of sale of new securities</t>
  </si>
  <si>
    <t>(Ranges)'!Return_Multiple</t>
  </si>
  <si>
    <t>Price_Unit_New["Securities.Option.Series_B", "Rounds.Round_A"]|=max(0, B91*Prices!C18+B91*(-B101))</t>
  </si>
  <si>
    <t>Number of unexercised warrants and options that are in the money in phase End, for each investment round. Used in variable Payout in denominators of formulas.</t>
  </si>
  <si>
    <t>Invest_by_Origin_exDiv_LastRnd</t>
  </si>
  <si>
    <t>Dividend_pct_Yr["Securities.Conv_Note.Series_B"]|=0.04</t>
  </si>
  <si>
    <t>Price Premium %</t>
  </si>
  <si>
    <t>prevde(0, "Rounds", Lastd("Phases", Investment_by_Origin))+Dividend</t>
  </si>
  <si>
    <t>Comment</t>
  </si>
  <si>
    <t>Units_New_Sc0["Securities.Option.Series_B", "Rounds.Seed"]|=0/3/10</t>
  </si>
  <si>
    <t>Convert_Trigger_Date</t>
  </si>
  <si>
    <t>Converting_pct["Securities.Option.Series_A", "Rounds.Exit"]|=D52</t>
  </si>
  <si>
    <t>Investment_by_Origin["Phases.New_Sales"]+Investment_by_Origin["Phases.Convert"]+var(ifm(dimitemnum("Rounds", 0)=1, 0*0, 0))-if(iserror(nextd("Rounds", Payout_by_Origin)), lastd("Phases", Payout_by_Origin), 0)</t>
  </si>
  <si>
    <t>Invest by Origin ex-Dividend</t>
  </si>
  <si>
    <t>Converting_pct*Investment_Net["Phases.Post_Sales"]</t>
  </si>
  <si>
    <t>Conversion Decisions Detail</t>
  </si>
  <si>
    <t>:A:0:Investment_Net_New_plt</t>
  </si>
  <si>
    <t xml:space="preserve">  Conv_Note</t>
  </si>
  <si>
    <t>Convert_Trigger_Invest_Amt["Securities.Warrant"]|=1500000</t>
  </si>
  <si>
    <t>Firm_Value_Start_Sc0</t>
  </si>
  <si>
    <t xml:space="preserve">The price of each type of security at the start of each investment round. Prices for sale of new securities in general differ from prices for conversion or exercise of securities in transactions at a later phase. These prices for unexercised options do not account for effects of stock volatility etc. in option pricing models. </t>
  </si>
  <si>
    <t>This variable encodes the default conversion decisions for securities. 
+1 means all conversion conditions are satisfied
0 means some conversion condition is not satisfied
This information determines the default values for conversion percents for each security in each round, found in variable 'Convert %'.
You can get detail on which conversion conditions are or are not satisfied in variable 'Conversion Decisions Detail'.</t>
  </si>
  <si>
    <t>Converting_pct*Investment_Net["Phases.Post_Sales"]/var(Price_Unit_Conv["Securities.Common"])/(1-ConvNote_Discount_pct)</t>
  </si>
  <si>
    <t>Convert_Trigger_Date["Securities.Preferred.Series_A"]|=date(2011,4,1)</t>
  </si>
  <si>
    <t>Price_Unit_New["Securities.Preferred.Series_A", "Rounds.Seed"]|='(Other Variables)'!B23</t>
  </si>
  <si>
    <t>Converting_pct["Securities.Conv_Note.Series_A", "Rounds.Seed"]|=B45</t>
  </si>
  <si>
    <t>Net Investment</t>
  </si>
  <si>
    <t>Cumulative gross investment held in preferred stock at the end of each investment round. Includes dividends. Used for plotting.</t>
  </si>
  <si>
    <t>Price_Unit_New["Securities.Preferred.Series_A", "Rounds.Exit"]|='(Other Variables)'!D23</t>
  </si>
  <si>
    <t>:A:-1:Liq_Preference_New</t>
  </si>
  <si>
    <t>:A:0:Payout_End_pct</t>
  </si>
  <si>
    <t>Investment_New_Sc0</t>
  </si>
  <si>
    <t>-xnpv(Discount_Rate_Yr, ranged("Rounds", IRR_Cash_Flow), ranged("Rounds", Event_Date))</t>
  </si>
  <si>
    <t>Investment by Origin</t>
  </si>
  <si>
    <t>Invest_End_War_plt</t>
  </si>
  <si>
    <t>Invest by Origin Common</t>
  </si>
  <si>
    <t>Price_Unit_New["Securities.Warrant", "Rounds.Round_A"]|=max(0, Boneyard!D26*C18+Boneyard!D26*(-'(Other Variables)'!B12))</t>
  </si>
  <si>
    <t xml:space="preserve">  Warrant</t>
  </si>
  <si>
    <t>Firstd("Phases", Investment_Net)+Investment_Net["Phases.New_Sales"]</t>
  </si>
  <si>
    <t>Investment_by_Origin["Phases.Post_Sales"]+Investment_by_Origin["Phases.Convert"]</t>
  </si>
  <si>
    <t>:WS:Output Advanced</t>
  </si>
  <si>
    <t>Investment_Net["Phases.End"]</t>
  </si>
  <si>
    <t>Exercise Price</t>
  </si>
  <si>
    <t>:A:0:Price_Common_Init</t>
  </si>
  <si>
    <t>Investment_Net</t>
  </si>
  <si>
    <t>Price_Unit_New["Securities.Common", "Rounds.Round_A"]|='(Other Variables)'!C25</t>
  </si>
  <si>
    <t>OptionWar_in_Money</t>
  </si>
  <si>
    <t>Cumulative gross investment in warrants, for each investment round. Used for plotting.</t>
  </si>
  <si>
    <t>Discount Rate (Yr)</t>
  </si>
  <si>
    <t>Investment_New_Sc0["Securities.Warrant", "Rounds.Exit"]|=0</t>
  </si>
  <si>
    <t>:A:0:Payout_EndLast_pct</t>
  </si>
  <si>
    <t>Converting_pct["Securities.Conv_Note.Series_B", "Rounds.Exit"]|=D44</t>
  </si>
  <si>
    <t>Cumulative gross investment in options held at the end of each investment round. Used for plotting.</t>
  </si>
  <si>
    <t>IRR_Initial_Guess_Yr["Securities.Conv_Note.Series_B"]|=0.50</t>
  </si>
  <si>
    <t>Units_New_Sc0["Securities.Common", "Rounds.Seed"]|=0/3/5</t>
  </si>
  <si>
    <t>Price_Unit_Conv</t>
  </si>
  <si>
    <t>:D:0:Phases.End</t>
  </si>
  <si>
    <t xml:space="preserve">  New_Sales</t>
  </si>
  <si>
    <t>Investment_Net["Phases.Post_Sales"]+Investment_Net["Securities", "Phases.Convert"]+OptionWar_Exercise_Amt["Securities", "Phases.Convert"]</t>
  </si>
  <si>
    <t>Convert_Liq_Premium_pct["Securities.Common"]|=0</t>
  </si>
  <si>
    <t>Investment_by_Origin["Securities.Option", "Phases.End"]</t>
  </si>
  <si>
    <t>max(0, Price_Unit_New_pct*(var(Price_Unit_New["Securities.Common"])-OptionWar_Exercise_Price))</t>
  </si>
  <si>
    <t>:A:-1:ConvNote_Discount_pct</t>
  </si>
  <si>
    <t>Gross investment, segmented by type and series of security, investment round, and phase. Converted notes and preferred shares and exercised warrants and options remain in their respective security types and series. 
The phase are:
* Start = investment in securities at the beginning of the round
* New Sales = new investment in securities in the round
* Post Sales = gross investment in securities after sale of new securities
* Convert = added investment in exercise $ amounts for exercised warrants and options
* End = investments at the end of the round (which still include amounts converted).</t>
  </si>
  <si>
    <t>:D:-1:Phases</t>
  </si>
  <si>
    <t>Investment_New_Sc0["Securities.Option.Series_B", "Rounds.Exit"]|=0</t>
  </si>
  <si>
    <t>Cumulative gross investment in convertible notes, for each investment round. Used for plotting.</t>
  </si>
  <si>
    <t>Price_Premium_pct["Securities.Warrant", "Rounds.Round_A"]|=B40</t>
  </si>
  <si>
    <t>Funds paid out that are imputed (if paid) to original investments in each type of security, at the end of each investment round. Warrants and options are exercised if they are in the money. The common payout pool covers common shares, including exercised warrants and options.</t>
  </si>
  <si>
    <t>Subtotal</t>
  </si>
  <si>
    <t>:A:-1:Investment_Net_End_plt</t>
  </si>
  <si>
    <t>Convert_Liq_Premium_pct["Securities.Conv_Note.Series_A"]|=0.2</t>
  </si>
  <si>
    <t>Dividend_Common["Rounds.Round_A"]|=0/3</t>
  </si>
  <si>
    <t>Liq Preference New</t>
  </si>
  <si>
    <t>:D:1:Securities.Conv_Note</t>
  </si>
  <si>
    <t>Units_New_Sc0</t>
  </si>
  <si>
    <t>Units_New_Sc0["Securities.Conv_Note.Series_B", "Rounds.Round_A"]|=0/3/10</t>
  </si>
  <si>
    <t>Firm value at End of each investment round. Used in plotting.</t>
  </si>
  <si>
    <t>Investment_Net["Securities.Option", "Phases.End"]</t>
  </si>
  <si>
    <t>Exercise price for each class of stock option. Upon exercise of a warrant or option, the holder pays the exercise price to the company in cash, which amount is added to Investment by Origin for the warrant or option, and added to Net Investment for common stock.</t>
  </si>
  <si>
    <t>:A:-1:Investment_New</t>
  </si>
  <si>
    <t>lastd("Rounds", Payout_End_pct)</t>
  </si>
  <si>
    <t>Rounds, Securities.Conv_Note, Convert_Conditions.Liquidation</t>
  </si>
  <si>
    <t>Rounds_plt</t>
  </si>
  <si>
    <t>:A:0:Invest_by_Origin_Conv_plt</t>
  </si>
  <si>
    <t>Data:</t>
  </si>
  <si>
    <t>Dividend Common</t>
  </si>
  <si>
    <t>Investment_New_Sc0["Securities.Option.Series_A", "Rounds.Seed"]|=0</t>
  </si>
  <si>
    <t>Rounds, Securities.Common, Convert_Conditions</t>
  </si>
  <si>
    <t>Payout_End+if(Lastd("Phases", Units_Net["Securities.Common"])=0, 0, Shares_Common_by_Origin/Lastd("Phases", Units_Net["Securities.Common"])*Payout_End["Securities.Common"])</t>
  </si>
  <si>
    <t>Price_Unit_New["Securities.Warrant", "Rounds.Exit"]|=max(0, Boneyard!D26*D18+Boneyard!D26*(-'(Other Variables)'!B12))</t>
  </si>
  <si>
    <t>Price_Premium_pct["Securities.Warrant", "Rounds.Exit"]|=C40</t>
  </si>
  <si>
    <t>Rounds, Phases.Convert, Securities.Conv_Note</t>
  </si>
  <si>
    <t>Price_Premium_pct["Securities.Option.Series_A", "Rounds.Exit"]|=C43</t>
  </si>
  <si>
    <t>Lastd("Rounds", Invest_by_Origin_exDiv)</t>
  </si>
  <si>
    <t>Converting_pct["Securities.Common", "Rounds.Round_A"]|=C48</t>
  </si>
  <si>
    <t>:A:-1:Company_Name</t>
  </si>
  <si>
    <t>Investment_New_Sc0["Securities.Option.Series_B", "Rounds.Round_A"]|=0</t>
  </si>
  <si>
    <t>Rounds, Phases.New_Sales, Securities.Preferred</t>
  </si>
  <si>
    <t>Dividend</t>
  </si>
  <si>
    <t>Rounds, Phases.Post_Sales, Securities</t>
  </si>
  <si>
    <t>Event Date</t>
  </si>
  <si>
    <t>diminfo("Rounds", 7, ", ")</t>
  </si>
  <si>
    <t>Converting_pct["Securities.Warrant", "Rounds.Seed"]|=B49</t>
  </si>
  <si>
    <t>Liq_Preference_EndLast</t>
  </si>
  <si>
    <t>:A:0:Payout_Pool_End</t>
  </si>
  <si>
    <t>Liquidation</t>
  </si>
  <si>
    <t>Rounds, Securities.Conv_Note</t>
  </si>
  <si>
    <t>Price_Unit_New_pct["Securities.Common"]|=1</t>
  </si>
  <si>
    <t>The number of units of each type of security outstanding or transacted at each phase in each investment round. For convertible notes, share numbers are shown as zero. Warrants and options can be exercised for common shares on one-for-one basis. "Net" means net of conversions and exercises.
The transaction phases within each funding round are:
* Start = outstanding securities at the beginning of the round
* New Sales = sales of new securities in the round
* Post Sales = outstanding securities after sale of new securities
* Convert = securities being converted (notes) or exercised (warrants and options)
* End = outstanding securities after conversions are executed, which is the end of the round
Splits occur between rounds, and are included in Start totals.</t>
  </si>
  <si>
    <t>Invest_by_Origin_exDiv["Phases.Post_Sales"]+Invest_by_Origin_exDiv["Phases.Convert"]</t>
  </si>
  <si>
    <t>Price_Unit_New_pct["Securities.Warrant"]|=1</t>
  </si>
  <si>
    <t>:D:2:Securities</t>
  </si>
  <si>
    <t>:A:0:Invest_End_Opt_plt</t>
  </si>
  <si>
    <t>Event_Date_Sc0["Rounds.Round_A"]|=date(2010, 11*2-3, 1)</t>
  </si>
  <si>
    <t>:A:0:Securities_plt</t>
  </si>
  <si>
    <t>Firm Value</t>
  </si>
  <si>
    <t>Scenarios_Invest</t>
  </si>
  <si>
    <t>Payout by Origin %</t>
  </si>
  <si>
    <t>Initial common share price at the start of the seed round</t>
  </si>
  <si>
    <t xml:space="preserve">  End</t>
  </si>
  <si>
    <t>Converting_pct["Securities.Conv_Note.Series_B", "Rounds.Seed"]|=B44</t>
  </si>
  <si>
    <t>Firm value at phases Start, Post Sales, and End; and change in firm value at phases New Sales and Convert, for each investment round. A new investment (including paying the exercise price to exercise a warrant or option) increases the value of the firm by the amount of the new investment.</t>
  </si>
  <si>
    <t>:D:2:Securities.Conv_Note</t>
  </si>
  <si>
    <t>Investment_New_Sc0["Securities.Conv_Note.Series_A", "Rounds.Exit"]|=0</t>
  </si>
  <si>
    <t>Investment_Net["Securities.Preferred", "Phases.End"]</t>
  </si>
  <si>
    <t>Firstd("Phases", Units_Net)+Units_Net["Phases.New_Sales"]</t>
  </si>
  <si>
    <t>:A:-1:Price_Unit_New</t>
  </si>
  <si>
    <t>prevde(0, "Rounds", Lastd("Phases", OptionWar_Exercise_Amt))</t>
  </si>
  <si>
    <t>ConvNote_Discount_pct["Securities.Warrant"]|=0</t>
  </si>
  <si>
    <t>XIRR(ranged("Rounds", IRR_Cash_Flow), ranged("Rounds", Event_Date), IRR_Initial_Guess_Yr)</t>
  </si>
  <si>
    <t>Rounds, Phases.End</t>
  </si>
  <si>
    <t>Dividend_pct_Yr</t>
  </si>
  <si>
    <t>Split_Factor_Start["Rounds.Seed"]|=1</t>
  </si>
  <si>
    <t>:A:-1:Investment_Net</t>
  </si>
  <si>
    <t>Rounds, Phases.Start</t>
  </si>
  <si>
    <t>Investment_New_Sc0["Securities.Common", "Rounds.Round_A"]|=0</t>
  </si>
  <si>
    <t>Phases</t>
  </si>
  <si>
    <t>The transaction phases within each funding round. The phases are: 
* Start = outstanding securities at the beginning of the round
* New Sales = sales of new securities in the round
* Post Sales = outstanding securities after sale of new securities
* Convert = securities being converted (notes) or exercised (warrants and options)
* End = outstanding securities after conversions are executed, which is the end of the round
Dividends are paid and splits occur between rounds, and are included in Start totals.</t>
  </si>
  <si>
    <t>New Units Sold</t>
  </si>
  <si>
    <t>Liq Premium %</t>
  </si>
  <si>
    <t>Rounds, Phases.New_Sales, Securities</t>
  </si>
  <si>
    <t>:D:0:Convert_Conditions.Trigger_Invest</t>
  </si>
  <si>
    <t xml:space="preserve">The default conversion decision for each security is positive (negative) if all these built-in conditions are satisfied (not satisfied).
1) The date of the current round has reached the trigger date
2) The sum of investments in common, preferred and notes exceeds the trigger investment threshhold
3) For notes and preferred: the value of the company exceeds a safety criterion (investment in notes + preferred must be less than a stated fraction of firm value).
4) For notes and preferred: value of commmon shares obtained &gt; (1+premium) * liquidation preference.
5) For warrants and options: common share price &gt;= exercise price.
</t>
  </si>
  <si>
    <t>Liq_Multiple["Securities.Conv_Note.Series_A"]|=1</t>
  </si>
  <si>
    <t>Split_Factor_Start["Rounds.Exit"]|=1</t>
  </si>
  <si>
    <t>lastd("Rounds", Payout_End)</t>
  </si>
  <si>
    <t>Dividend_Common["Rounds.Exit"]|=0/3</t>
  </si>
  <si>
    <t>IRR (Yr)</t>
  </si>
  <si>
    <t>Dividend_pct_Yr["Securities.Option.Series_B"]|=0</t>
  </si>
  <si>
    <t>Dividend_pct_Yr["Securities.Conv_Note.Series_A"]|=0.04</t>
  </si>
  <si>
    <t>Price_Premium_pct["Securities.Conv_Note.Series_A", "Rounds.Round_A"]|=B36</t>
  </si>
  <si>
    <t>:D:2:Phases.Start</t>
  </si>
  <si>
    <t>Event_Date</t>
  </si>
  <si>
    <t>Price_Premium_pct["Securities.Common", "Rounds.Seed"]|=0</t>
  </si>
  <si>
    <t>Investment_Net["Securities.Common", "Phases.End"]</t>
  </si>
  <si>
    <t>:A:-1:IRR_Cash_Flow</t>
  </si>
  <si>
    <t>Plot Support'!Investment_Net_New_plt</t>
  </si>
  <si>
    <t>:A:0:Price_Unit_New</t>
  </si>
  <si>
    <t>:A:0:Investment_Net_End_plt</t>
  </si>
  <si>
    <t>:A:0:Scenarios_Value_Dim</t>
  </si>
  <si>
    <t>Price_Unit_New_pct["Securities.Option.Series_B"]|=1</t>
  </si>
  <si>
    <t>:A:-1:Units_Net</t>
  </si>
  <si>
    <t>Rounds, Securities, Convert_Conditions.Trigger_Date</t>
  </si>
  <si>
    <t>Converting_pct["Securities.Common", "Rounds.Exit"]|=D48</t>
  </si>
  <si>
    <t>The amount of liquidiation preference that is due to each class of security (before anything is paid to holders of junior securities, in the event of liquidiation), at the last phase (End) of each round</t>
  </si>
  <si>
    <t>Investment!Event_Date</t>
  </si>
  <si>
    <t>Return Multiple</t>
  </si>
  <si>
    <t>:A:0:Investment_New_Sc0</t>
  </si>
  <si>
    <t>:A:-1:Invest_by_Origin_Conv_plt</t>
  </si>
  <si>
    <t>Converting_pct["Securities.Preferred.Series_A", "Rounds.Seed"]|=B47</t>
  </si>
  <si>
    <t>Price_Premium_pct["Securities.Conv_Note.Series_B", "Rounds.Seed"]|=0</t>
  </si>
  <si>
    <t>Convert_Trigger_Value_pct["Securities.Warrant"]|=0.50</t>
  </si>
  <si>
    <t>Plot Support'!Invest_End_War_plt</t>
  </si>
  <si>
    <t>New investments due to sale of new convertible notes, preferred and common shares, by investment round; investment scenario 1. New warrants and options are tracked in variable Shares_New because they are specified by number of new shares, not new investment.</t>
  </si>
  <si>
    <t>:A:0:Investment_New</t>
  </si>
  <si>
    <t>:A:-1:Price_Unit_Conv</t>
  </si>
  <si>
    <t>Firm Value Start</t>
  </si>
  <si>
    <t>:A:0:IRR_XIRR_Yr</t>
  </si>
  <si>
    <t>:A:-1:Dividend_by_Origin_Last</t>
  </si>
  <si>
    <t>IRR_Initial_Guess_Yr["Securities.Preferred.Series_A"]|=0.50</t>
  </si>
  <si>
    <t>:A:-1:Invest_by_Origin_War_plt</t>
  </si>
  <si>
    <t>Default Conversion Decisions</t>
  </si>
  <si>
    <t>:A:-1:Price_Common_Init</t>
  </si>
  <si>
    <t>Dividend_pct_Yr["Securities.Preferred.Series_A"]|=0.06</t>
  </si>
  <si>
    <t>Firm_Value_Start</t>
  </si>
  <si>
    <t>Numbers of new warrants and options sold, by investment round. Sales of new convertible notes, preferred stock and common stock are input as new investment, from which new shares are computed.</t>
  </si>
  <si>
    <t>" "</t>
  </si>
  <si>
    <t>:A:0:Event_Date_Sc0</t>
  </si>
  <si>
    <t>:A:0:Invest_End_Conv_plt</t>
  </si>
  <si>
    <t>Convert_Trigger_Invest_Amt["Securities.Conv_Note.Series_B"]|=1000000</t>
  </si>
  <si>
    <t>Trigger Date</t>
  </si>
  <si>
    <t>ifm(isleafd("Rounds"), Payout_by_Origin/Payout_by_Origin["Securities"], " ")</t>
  </si>
  <si>
    <t>Net Present Value</t>
  </si>
  <si>
    <t>ConvNote_Discount_pct["Securities.Option.Series_B"]|=0</t>
  </si>
  <si>
    <t>:D:0:Securities.Preferred</t>
  </si>
  <si>
    <t>Units_New_Sc0["Securities.Preferred.Series_A", "Rounds.Seed"]|=0/3/5</t>
  </si>
  <si>
    <t>Dividend % (Yr)</t>
  </si>
  <si>
    <t>Plot Support'!Firm_Value_End</t>
  </si>
  <si>
    <t>ConvNote_Discount_pct["Securities.Option.Series_A"]|=0</t>
  </si>
  <si>
    <t>Price_Unit_New["Securities.Conv_Note.Series_B", "Rounds.Seed"]|='(Other Variables)'!B19</t>
  </si>
  <si>
    <t>if(Price_Unit_Conv["Securities.Common"]&lt;=OptionWar_Exercise_Price, 0, Lastd("Phases", Units_Net))</t>
  </si>
  <si>
    <t>Formula / Data</t>
  </si>
  <si>
    <t>The amount of funds that would be paid to each type of security if liquidation occurs at the end of an investment round. Warrants and options are exercised if they are in the money. The common payout pool covers common shares, including exercised warrants and options.</t>
  </si>
  <si>
    <t>Payout_Pool_EndLast</t>
  </si>
  <si>
    <t>The amount of exercise payments due upon exercise of outstanding warrants and options. For Phase Convert, the amount of exercise payments made to exercise warrants and options in each round.</t>
  </si>
  <si>
    <t>Rounds, Phases.New_Sales</t>
  </si>
  <si>
    <t>Price_Premium_pct["Securities.Preferred.Series_A", "Rounds.Exit"]|=C50</t>
  </si>
  <si>
    <t>:D:-1:Securities</t>
  </si>
  <si>
    <t>:A:-1:Liq_Preference_End</t>
  </si>
  <si>
    <t>:D:0:Rounds.Exit</t>
  </si>
  <si>
    <t>(Ranges)'!Payout_End</t>
  </si>
  <si>
    <t>Price_Unit_New["Securities.Option.Series_B", "Rounds.Exit"]|=max(0, B91*Prices!D18+B91*(-B101))</t>
  </si>
  <si>
    <t>Discount_Rate_Yr["Securities.Common"]|=0.30</t>
  </si>
  <si>
    <t>:A:0:Firm_Value_End</t>
  </si>
  <si>
    <t>if(Lastd("Phases", Units_Net["Securities.Common"])=0, 0, Shares_Common_by_Origin/Lastd("Phases", Units_Net["Securities.Common"])*Payout_End["Securities.Common"])</t>
  </si>
  <si>
    <t>Return_Multiple</t>
  </si>
  <si>
    <t>:A:-1:Payout_EndLast_pct</t>
  </si>
  <si>
    <t>Units_New_Sc0["Securities.Preferred.Series_A", "Rounds.Exit"]|=0/3/5</t>
  </si>
  <si>
    <t>Units_New_Sc0["Securities.Warrant", "Rounds.Round_A"]|=0/3/5</t>
  </si>
  <si>
    <t>Convert_Conditions</t>
  </si>
  <si>
    <t>max(0, if(Units_Net["Phases.Post_Sales"]=0, 0, (Firm_Value["Phases.Post_Sales"]-Liq_Preference_End["Securities.Conv_Note"]-Liq_Preference_End["Securities.Preferred"]-sum(ranged("Securities.Conv_Note", Liq_Preference_New))-sum(ranged("Securities.Preferred", Liq_Preference_New)))/Units_Net["Phases.Post_Sales"]))</t>
  </si>
  <si>
    <t>:A:-1:Invest_End_War_plt</t>
  </si>
  <si>
    <t>Units_New_Sc0["Securities.Common", "Rounds.Round_A"]|=0/3/5</t>
  </si>
  <si>
    <t>:A:0:Conversion_Decisions_Default</t>
  </si>
  <si>
    <t>:A:-1:Units_New</t>
  </si>
  <si>
    <t>Convert_Trigger_Value_pct</t>
  </si>
  <si>
    <t>Convert Conditions</t>
  </si>
  <si>
    <t>Price_Unit_New["Securities.Preferred.Series_A", "Rounds.Round_A"]|='(Other Variables)'!C23</t>
  </si>
  <si>
    <t>Start</t>
  </si>
  <si>
    <t>Convert_Liq_Premium_pct["Securities.Warrant"]|=0</t>
  </si>
  <si>
    <t>Price_Premium_pct["Securities.Conv_Note.Series_A", "Rounds.Seed"]|=0</t>
  </si>
  <si>
    <t>Phase</t>
  </si>
  <si>
    <t>:A:-1:Payout_by_Origin</t>
  </si>
  <si>
    <t>Units_New_Sc0["Securities.Option.Series_A", "Rounds.Exit"]|=0/3/10</t>
  </si>
  <si>
    <t>:A:0:Company_Name</t>
  </si>
  <si>
    <t>:D:1:Phases</t>
  </si>
  <si>
    <t>Price premium for a preferred share unit over common stock at time of purchase. The premium reflects the contingent value of preference payments and preference dividends.</t>
  </si>
  <si>
    <t>:A:0:Payout_by_Origin_Last</t>
  </si>
  <si>
    <t>prevde(0, "Rounds", Lastd("Phases", Investment_Net))+Dividend</t>
  </si>
  <si>
    <t>New investments due to sale of new convertible notes, preferred and common shares, by investment round. New warrants and options are tracked in variable Shares_New because they are specified by number of new shares, not new investment.</t>
  </si>
  <si>
    <t>The multiple of new investment that is added to liquidation preference for each class of security, in each investment round</t>
  </si>
  <si>
    <t>:D:0:Phases.Post_Sales</t>
  </si>
  <si>
    <t>Price_Unit_New["Securities.Common", "Rounds.Seed"]|='(Other Variables)'!B25</t>
  </si>
  <si>
    <t>:A:-1:Securities_plt</t>
  </si>
  <si>
    <t>Price_Unit_New["Securities.Conv_Note.Series_B", "Rounds.Round_A"]|='(Other Variables)'!C19</t>
  </si>
  <si>
    <t>:A:-1:Payout_EndLast</t>
  </si>
  <si>
    <t>Invest by Origin Options</t>
  </si>
  <si>
    <t>IRR_Initial_Guess_Yr</t>
  </si>
  <si>
    <t>% Converting</t>
  </si>
  <si>
    <t>:A:-1:Firm_Value_Start</t>
  </si>
  <si>
    <t>:A:0:Investment_Net</t>
  </si>
  <si>
    <t>Investment_Net["Securities.Warrant", "Phases.End"]</t>
  </si>
  <si>
    <t>Price_Premium_pct["Securities.Conv_Note.Series_B", "Rounds.Round_A"]|=B35</t>
  </si>
  <si>
    <t>Investment_by_Origin["Securities.Conv_Note", "Phases.End"]</t>
  </si>
  <si>
    <t>:A:-1:Investment_New_Sc0</t>
  </si>
  <si>
    <t>:A:0:Payout_by_Origin_pct_LastRnd</t>
  </si>
  <si>
    <t>Discount_Rate_Yr["Securities.Preferred.Series_A"]|=0.30</t>
  </si>
  <si>
    <t>:D:1:Securities.Preferred</t>
  </si>
  <si>
    <t>Net present value of cash flows to each series of each type of security. Each series and type of security can have its own discount rate to reflect different risks.</t>
  </si>
  <si>
    <t>Rounds</t>
  </si>
  <si>
    <t>if(dimitemnum("Rounds")=1, Price_Common_Init, (Firstd("Phases", Firm_Value)-Firstd("Phases", Investment_by_Origin["Securities.Conv_Note"])-Firstd("Phases", Investment_by_Origin["Securities.Preferred"]))/(Firstd("Phases", Units_Net["Securities.Preferred"])+Firstd("Phases", Units_Net["Securities.Warrant"])+Firstd("Phases", Units_Net["Securities.Option"])+Firstd("Phases", Units_Net["Securities.Common"])))</t>
  </si>
  <si>
    <t>Investment_by_Origin["Securities.Common", "Phases.End"]</t>
  </si>
  <si>
    <t>Price_Unit_New["Securities.Conv_Note.Series_A", "Rounds.Round_A"]|='(Other Variables)'!C20</t>
  </si>
  <si>
    <t>Converting_pct["Securities.Warrant", "Rounds.Round_A"]|=C49</t>
  </si>
  <si>
    <t>Liq_Preference_End</t>
  </si>
  <si>
    <t>The multiple of investment (ex-dividends) that each type of security gets. This is a straight multiple with no discounting for the time value of money. The value of founders' noncash contributions are included as investments in this computation.</t>
  </si>
  <si>
    <t>Cash Flow</t>
  </si>
  <si>
    <t>Converting_pct["Securities.Option.Series_A", "Rounds.Seed"]|=B52</t>
  </si>
  <si>
    <t>Rounds, Phases.Convert, Securities.Warrant</t>
  </si>
  <si>
    <t>Dividend_pct_Yr["Securities.Option.Series_A"]|=0</t>
  </si>
  <si>
    <t>Invest End Round Warrants</t>
  </si>
  <si>
    <t>Plot Support'!Invest_by_Origin_Preferred_plt</t>
  </si>
  <si>
    <t>lastd("Rounds", Liq_Preference_End)</t>
  </si>
  <si>
    <t>:A:0:Invest_End_War_plt</t>
  </si>
  <si>
    <t>:A:0:Split_Factor_Start</t>
  </si>
  <si>
    <t>abs(product(ranged("Convert_Conditions", Conversion_Decisions_Detail)))</t>
  </si>
  <si>
    <t>Convert</t>
  </si>
  <si>
    <t>:A:0:Converting_pct</t>
  </si>
  <si>
    <t>Net investment at each phase of each investment round, segmented by type of security. Converted notes and preferred shares and exercised warrants and options are subtracted and added to common stock. Exercise $ amounts for warrants and options are added to Net Investment for common stock.
The phase are:
* Start = outstanding investment in securities at the beginning of the round
* New Sales = new investment in securities in the round
* Post Sales = gross investment in securities after sale of new securities
* Convert = investment value of securities being converted (notes) or exercised (warrants and options)
* End = investments at the end of the round (with converted and exercised securties recorded as common stock)</t>
  </si>
  <si>
    <t>max(0, prevde(0, "Rounds", Liq_Preference_End)+(Dividend+Investment_Net["Phases.New_Sales"]-Investment_Net["Phases.Convert"])*Liq_Multiple)</t>
  </si>
  <si>
    <t>ConvNote_Discount_pct["Securities.Preferred.Series_A"]|=0</t>
  </si>
  <si>
    <t>if(Price_Unit_Start["Securities.Common"]=0, 0, Investment_Net/Price_Unit_Start["Securities.Common"])</t>
  </si>
  <si>
    <t>Invest_by_Origin_War_plt</t>
  </si>
  <si>
    <t>:A:0:ConvNote_Discount_pct</t>
  </si>
  <si>
    <t>Option</t>
  </si>
  <si>
    <t>Security</t>
  </si>
  <si>
    <t>:A:0:Liq_Preference_New</t>
  </si>
  <si>
    <t>Liquidation Preference</t>
  </si>
  <si>
    <t>Discount_Rate_Yr["Securities.Warrant"]|=0.30</t>
  </si>
  <si>
    <t>:D:0:Rounds.Round_A</t>
  </si>
  <si>
    <t>Display As</t>
  </si>
  <si>
    <t>dimitemnum("Scenarios_Invest")</t>
  </si>
  <si>
    <t>Payout_by_Origin</t>
  </si>
  <si>
    <t>ConvNote_Discount_pct["Securities.Common"]|=0</t>
  </si>
  <si>
    <t>Exit</t>
  </si>
  <si>
    <t>:A:-1:IRR_Initial_Guess_Yr</t>
  </si>
  <si>
    <t>Firm_Value_End</t>
  </si>
  <si>
    <t>prevde(0, "Rounds")</t>
  </si>
  <si>
    <t>Rounds, Securities.Warrant</t>
  </si>
  <si>
    <t>Plot Support'!Invest_End_Preferred_plt</t>
  </si>
  <si>
    <t>:D:-1:Convert_Conditions</t>
  </si>
  <si>
    <t>New Units</t>
  </si>
  <si>
    <t>prevde(0, "Rounds", Lastd("Phases", Invest_by_Origin_exDiv))</t>
  </si>
  <si>
    <t>:A:-1:Rounds_plt</t>
  </si>
  <si>
    <t>Invest_by_Origin_Conv_plt</t>
  </si>
  <si>
    <t>Exercise Amt</t>
  </si>
  <si>
    <t>Price_Unit_New["Securities.Conv_Note.Series_A", "Rounds.Exit"]|='(Other Variables)'!D20</t>
  </si>
  <si>
    <t>:A:-1:Convert_Trigger_Date</t>
  </si>
  <si>
    <t>:A:0:Invest_End_Common_plt</t>
  </si>
  <si>
    <t>ConvNote_Discount_pct</t>
  </si>
  <si>
    <t>max(0, Price_Unit_Conv["Securities.Common"])</t>
  </si>
  <si>
    <t>Trigger Value %</t>
  </si>
  <si>
    <t>max(0, Price_Unit_Conv["Securities.Common"]*(1-ConvNote_Discount_pct))</t>
  </si>
  <si>
    <t>Post Sales</t>
  </si>
  <si>
    <t>:A:0:Price_Premium_pct</t>
  </si>
  <si>
    <t>Investment_New_Sc0["Securities.Option.Series_A", "Rounds.Round_A"]|=0</t>
  </si>
  <si>
    <t>:A:-1:Invest_End_Preferred_plt</t>
  </si>
  <si>
    <t>Units_New_Sc0["Securities.Option.Series_B", "Rounds.Round_A"]|=0/3/10</t>
  </si>
  <si>
    <t>Conv Note</t>
  </si>
  <si>
    <t>Converting_pct["Securities.Option.Series_A", "Rounds.Round_A"]|=C52</t>
  </si>
  <si>
    <t>Event_Date_Sc0["Rounds.Seed"]|=date(2010, 11*1-3, 1)</t>
  </si>
  <si>
    <t>Internal rate of return of cash flow to holders of each series and type of security. Includes new investments, exercise payments (for warrants and options) and final payout at the end of the last investment round.</t>
  </si>
  <si>
    <t>:A:-1:Invest_End_Common_plt</t>
  </si>
  <si>
    <t>Net_Present_Value_XNPV</t>
  </si>
  <si>
    <t>Investment rounds, used for plotting</t>
  </si>
  <si>
    <t>:D:0:Convert_Conditions.Trigger_Value_pct</t>
  </si>
  <si>
    <t>Liq_Multiple["Securities.Option.Series_B"]|=0</t>
  </si>
  <si>
    <t>Price_Premium_pct["Securities.Preferred.Series_A", "Rounds.Seed"]|=0.10</t>
  </si>
  <si>
    <t>Price_Unit_Start</t>
  </si>
  <si>
    <t>Ratio (price at which new units are purchased) / (common share price - exercise price).</t>
  </si>
  <si>
    <t>Dividend_Common["Rounds.Seed"]|=0/3</t>
  </si>
  <si>
    <t>Conversion of securities to common stock must produce this value premium over liquidation preference, in order for the default conversion condition to be satisfied. If &lt; 0, then the company has the right to convert the security to common stock when all the conditions are met.</t>
  </si>
  <si>
    <t>Series A</t>
  </si>
  <si>
    <t>Price_Unit_New["Securities.Warrant", "Rounds.Seed"]|=max(0, Boneyard!D26*B18+Boneyard!D26*(-'(Other Variables)'!B12))</t>
  </si>
  <si>
    <t>:A:-1:Investment_by_Origin</t>
  </si>
  <si>
    <t>Invest_by_Origin_Preferred_plt</t>
  </si>
  <si>
    <t>Firm_Value["Phases.Post_Sales"]+Firm_Value["Phases.Convert"]</t>
  </si>
  <si>
    <t>:A:-1:Discount_Rate_Yr</t>
  </si>
  <si>
    <t>Date of each investment round, determined by investment scenario selected</t>
  </si>
  <si>
    <t>:A:0:Investment_by_Origin</t>
  </si>
  <si>
    <t>Dimension (item)</t>
  </si>
  <si>
    <t>Convert_Trigger_Date["Securities.Warrant"]|=date(2011,4,1)</t>
  </si>
  <si>
    <t>Investment_New_Sc0["Securities.Warrant", "Rounds.Seed"]|=0</t>
  </si>
  <si>
    <t>(Ranges)'!Payout_by_Origin_Last</t>
  </si>
  <si>
    <t>:A:0:Net_Present_Value_XNPV</t>
  </si>
  <si>
    <t>Converting_pct</t>
  </si>
  <si>
    <t>Converting_pct["Securities.Option.Series_B", "Rounds.Round_A"]|=C51</t>
  </si>
  <si>
    <t>:D:0:Securities.Option</t>
  </si>
  <si>
    <t>:A:-1:Net_Present_Value_XNPV</t>
  </si>
  <si>
    <t>Capitalization Table</t>
  </si>
  <si>
    <t>You can customize this template by filling in a simple form, without editing a spreadsheet.</t>
  </si>
  <si>
    <t>This is a small and simplified working sample of the capitalization table template.</t>
  </si>
  <si>
    <r>
      <t xml:space="preserve">A </t>
    </r>
    <r>
      <rPr>
        <b/>
        <i/>
        <sz val="10"/>
        <rFont val="Arial"/>
        <family val="2"/>
      </rPr>
      <t>customizable</t>
    </r>
    <r>
      <rPr>
        <b/>
        <sz val="10"/>
        <rFont val="Arial"/>
        <family val="2"/>
      </rPr>
      <t xml:space="preserve"> template</t>
    </r>
    <r>
      <rPr>
        <sz val="10"/>
        <rFont val="Arial"/>
        <family val="2"/>
      </rPr>
      <t xml:space="preserve"> is a flexible model that you can adapt to your situation by filling in a simple form, without editing a spreadsheet or its formulas. For example, you can specify time range and time grain; number and names of items in a dimension (such as your products and product families); and include or exclude major features. The resulting spreadsheet matches your needs better than any standard template.</t>
    </r>
  </si>
  <si>
    <t>Get a customized version of this template on our website.</t>
  </si>
  <si>
    <t>ModelSheet provides you with customized templates in three ways.</t>
  </si>
  <si>
    <t>1. Order a customized version of this template.</t>
  </si>
  <si>
    <t>Click "+" for more information.</t>
  </si>
  <si>
    <r>
      <rPr>
        <sz val="10"/>
        <rFont val="Times New Roman"/>
        <family val="1"/>
      </rPr>
      <t>•</t>
    </r>
    <r>
      <rPr>
        <sz val="10"/>
        <rFont val="Arial"/>
        <family val="2"/>
      </rPr>
      <t xml:space="preserve"> You can specify custom features by filling out a simple form. (Click on "+" for more information.)</t>
    </r>
  </si>
  <si>
    <t>Precise customizations vary from template to template. Examples:</t>
  </si>
  <si>
    <r>
      <rPr>
        <sz val="10"/>
        <rFont val="Calibri"/>
        <family val="2"/>
      </rPr>
      <t>−</t>
    </r>
    <r>
      <rPr>
        <sz val="10"/>
        <rFont val="Arial"/>
        <family val="2"/>
      </rPr>
      <t xml:space="preserve"> Specify the starting time, time range, time grain and rollup time grains (such as annual sums).</t>
    </r>
  </si>
  <si>
    <r>
      <rPr>
        <sz val="10"/>
        <rFont val="Times New Roman"/>
        <family val="1"/>
      </rPr>
      <t>−</t>
    </r>
    <r>
      <rPr>
        <sz val="10"/>
        <rFont val="Arial"/>
        <family val="2"/>
      </rPr>
      <t xml:space="preserve"> Specify the items in a dimension and levels of hierarchy (such as product families and products).</t>
    </r>
  </si>
  <si>
    <r>
      <rPr>
        <sz val="10"/>
        <rFont val="Times New Roman"/>
        <family val="1"/>
      </rPr>
      <t>−</t>
    </r>
    <r>
      <rPr>
        <sz val="10"/>
        <rFont val="Arial"/>
        <family val="2"/>
      </rPr>
      <t xml:space="preserve"> Include or exclude entire sub-models in the template.</t>
    </r>
  </si>
  <si>
    <r>
      <rPr>
        <sz val="10"/>
        <rFont val="Calibri"/>
        <family val="2"/>
      </rPr>
      <t>−</t>
    </r>
    <r>
      <rPr>
        <sz val="10"/>
        <rFont val="Arial"/>
        <family val="2"/>
      </rPr>
      <t xml:space="preserve"> These features </t>
    </r>
    <r>
      <rPr>
        <sz val="10"/>
        <rFont val="Arial"/>
        <family val="2"/>
      </rPr>
      <t>address the most serious problem with conventional spreadsheet templates: You can
   customize a template in many ways without having to interpret and edit numerous cell formulas.</t>
    </r>
  </si>
  <si>
    <r>
      <rPr>
        <sz val="10"/>
        <rFont val="Times New Roman"/>
        <family val="1"/>
      </rPr>
      <t>•</t>
    </r>
    <r>
      <rPr>
        <sz val="10"/>
        <rFont val="Arial"/>
        <family val="2"/>
      </rPr>
      <t xml:space="preserve"> You can edit many aspects of your Excel template after receiving it. (Click on "+" for more information.)</t>
    </r>
  </si>
  <si>
    <r>
      <rPr>
        <sz val="10"/>
        <rFont val="Times New Roman"/>
        <family val="1"/>
      </rPr>
      <t>−</t>
    </r>
    <r>
      <rPr>
        <sz val="10"/>
        <rFont val="Arial"/>
        <family val="2"/>
      </rPr>
      <t xml:space="preserve"> Edit input data in clearly marked input cells.</t>
    </r>
  </si>
  <si>
    <r>
      <rPr>
        <sz val="10"/>
        <rFont val="Times New Roman"/>
        <family val="1"/>
      </rPr>
      <t>−</t>
    </r>
    <r>
      <rPr>
        <sz val="10"/>
        <rFont val="Arial"/>
        <family val="2"/>
      </rPr>
      <t xml:space="preserve"> Edit the model start date of a template, so your template is not out of date when the start date changes.</t>
    </r>
  </si>
  <si>
    <r>
      <rPr>
        <sz val="10"/>
        <rFont val="Times New Roman"/>
        <family val="1"/>
      </rPr>
      <t>−</t>
    </r>
    <r>
      <rPr>
        <sz val="10"/>
        <rFont val="Arial"/>
        <family val="2"/>
      </rPr>
      <t xml:space="preserve"> Edit names of dimension items in once place (such as products, departments, expense accounts).</t>
    </r>
  </si>
  <si>
    <r>
      <rPr>
        <sz val="10"/>
        <rFont val="Times New Roman"/>
        <family val="1"/>
      </rPr>
      <t>•</t>
    </r>
    <r>
      <rPr>
        <sz val="10"/>
        <rFont val="Arial"/>
        <family val="2"/>
      </rPr>
      <t xml:space="preserve"> ModelSheet Excel templates are easier to understand. (Click on "+" for more information.)</t>
    </r>
  </si>
  <si>
    <r>
      <rPr>
        <sz val="10"/>
        <rFont val="Calibri"/>
        <family val="2"/>
      </rPr>
      <t>−</t>
    </r>
    <r>
      <rPr>
        <sz val="10"/>
        <rFont val="Arial"/>
        <family val="2"/>
      </rPr>
      <t xml:space="preserve"> Each table has an Excel comment that provides a variable name and explains the variable. </t>
    </r>
  </si>
  <si>
    <r>
      <rPr>
        <sz val="10"/>
        <rFont val="Times New Roman"/>
        <family val="1"/>
      </rPr>
      <t>−</t>
    </r>
    <r>
      <rPr>
        <sz val="10"/>
        <rFont val="Arial"/>
        <family val="2"/>
      </rPr>
      <t xml:space="preserve"> Worksheet "Formulas" expresses the entire model with named variables and symbolic formulas. Although
   the symbolic formulas are not executable in Excel, they are what the model is made from in ModelSheet.</t>
    </r>
  </si>
  <si>
    <t>− You never need to read inscrutable cell formulas to understand a ModelSheet customized template.</t>
  </si>
  <si>
    <t>Explore our customized templates.</t>
  </si>
  <si>
    <t>2. If you want more customizations, retain ModelSheet Software to build them for you.</t>
  </si>
  <si>
    <r>
      <rPr>
        <sz val="10"/>
        <rFont val="Times New Roman"/>
        <family val="1"/>
      </rPr>
      <t>•</t>
    </r>
    <r>
      <rPr>
        <sz val="10"/>
        <rFont val="Arial"/>
        <family val="2"/>
      </rPr>
      <t xml:space="preserve"> </t>
    </r>
    <r>
      <rPr>
        <sz val="10"/>
        <rFont val="Arial"/>
        <family val="2"/>
      </rPr>
      <t>Our staff has extensive experience in many areas of business and engineering analysis.</t>
    </r>
  </si>
  <si>
    <t>• ModelSheet technology enables us to offer you more value for your consulting dollar.</t>
  </si>
  <si>
    <t>Learn more about consulting services.</t>
  </si>
  <si>
    <t>3. Use the ModelSheet Authoring Environment to build and customize your spreadsheet models.</t>
  </si>
  <si>
    <t>The ModelSheet Authoring Environment is a SaaS application for developing and maintaining business models and delivering them in conventional spreadsheets.</t>
  </si>
  <si>
    <t>Click "+" to learn more about ModelSheet technology that makes customized template possible.</t>
  </si>
  <si>
    <t>This Excel workbook was generated using ModelSheet, a revolutionary new spreadsheet technology. ModelSheet allows you to develop business models using readable formulas, while avoiding the details of cell addresses and hard-to-change sheet layouts. The end result is a conventional Excel workbook just like this one. We built ModelSheet because we believe that spreadsheets are a great way of communicating results but we think it's just too hard to use them to develop reliable, maintainable, expressive and collaborative models.</t>
  </si>
  <si>
    <t>You'll get a glimpse of ModelSheet's advantages when you take a look at the "Formulas" tab and realize how few separate, readable formulas are needed to produce all of the other worksheets. In addition to formulas, ModelSheet knows about the "dimensions" in your model (e.g., products, locations, departments) as well as the time series that you're using (e.g., 5 years in quarters.) ModelSheet raises the level of thinking and acting from individual cells to natural modeling concepts.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</si>
  <si>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The ModelSheet authoring environment raises the level of thinking and acting from individual cells to natural modeling concepts like variables, dimensions, time series and accounting types.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</si>
  <si>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We have more to tell you about ModelSheet and we'd like to hear about your needs for templates and models.</t>
  </si>
  <si>
    <t>Please visit our website at www.modelsheetsoft.com</t>
  </si>
  <si>
    <t>or contact us at info@modelsheetsoft.com.</t>
  </si>
  <si>
    <t>Description of the Capitalization Table Model</t>
  </si>
  <si>
    <t>Capitalization tables track investments, common and preferred shares, options, notes, preference rights through multiple rounds of financing of a company. The complexity of this application makes it an ideal application for ModelSheet. The Standard version does not contain all featurse listed below. See the comparison table on our website for more information.</t>
  </si>
  <si>
    <t>Types of Securities</t>
  </si>
  <si>
    <t>The model includes five types of securities.</t>
  </si>
  <si>
    <t>• Convertible notes earn non-cash payments (termed dividends). See Technical Notes below
   for default conversion rules.</t>
  </si>
  <si>
    <t xml:space="preserve">• Preferred shares earn a dividend and can convert to common stock. </t>
  </si>
  <si>
    <t>• Common stock</t>
  </si>
  <si>
    <t>• Warrants have an exercise price, a selling price, and exercise conditions. See Technical Notes below
   for default exercise rules.</t>
  </si>
  <si>
    <t>• Options have an exercise price, a selling price, and exercise conditions.</t>
  </si>
  <si>
    <t>ModelSheet can easily change the number of series for each types of security. (Such changes would present a major challenge if authoring were performed using conventional spreadsheets).</t>
  </si>
  <si>
    <t>Major Computed Results</t>
  </si>
  <si>
    <t>The model computes:</t>
  </si>
  <si>
    <r>
      <rPr>
        <sz val="10"/>
        <rFont val="Times New Roman"/>
        <family val="1"/>
      </rPr>
      <t>•</t>
    </r>
    <r>
      <rPr>
        <sz val="10"/>
        <rFont val="Arial"/>
        <family val="2"/>
      </rPr>
      <t xml:space="preserve"> the value and share units of each type of security owned before and after each transaction round.</t>
    </r>
  </si>
  <si>
    <t>• the number of share units of each type purchased at each transaction round.</t>
  </si>
  <si>
    <t>• the number of fully diluted common share units before and after each conversion event.</t>
  </si>
  <si>
    <t>• the valuation of each type of security before and after each transaction round, and the value of
   the enterprise before and after each transaction round.</t>
  </si>
  <si>
    <t>• the payout at liquidation to each type of security, accounting for liquidation preferences of senior securities.</t>
  </si>
  <si>
    <t>Investment Rounds</t>
  </si>
  <si>
    <t>The model includes a number of investment rounds that you can set, including 'Exit'. You can specify the number of rounds in your customized template.</t>
  </si>
  <si>
    <t>Phases within Each Investment Round</t>
  </si>
  <si>
    <t>Each investment round has five phases that occur in this order, and include these transactions.</t>
  </si>
  <si>
    <t>1. "Start Phase": Stock splits occur and dividends in kind are paid at the start of each investment round.</t>
  </si>
  <si>
    <t>2. "New Sales Phase": Sell new securities (convertible notes, preferred stock, warrants, options,
    common stock)</t>
  </si>
  <si>
    <t>3. "Post Sales Phase": Record investments and share units after sale of new securities.</t>
  </si>
  <si>
    <t>4. "Conversion Phase": Stakeholders can convert notes and preferred shares and can exercise warrants and
    options to obtain common stock.</t>
  </si>
  <si>
    <t>5. "End Phase": Record security holdings, prices and values at the end of the investment round.</t>
  </si>
  <si>
    <t>All five phases are assumed to occur on the date of the investment round.</t>
  </si>
  <si>
    <t>You can edit this phase structure of a round in customized templates. You can edit the phase structure using ModelSheet Authoring. This is a fairly complex process, but it is much easier to do with ModelSheet Authoring than with conventional spreadsheets.</t>
  </si>
  <si>
    <t>Investment and Return on Investment</t>
  </si>
  <si>
    <t>The model reports three measures of return on investment for each series of each type of security.</t>
  </si>
  <si>
    <t>• Return multiples: the multiple of investment that is paid out</t>
  </si>
  <si>
    <t>• Present value of the cash flow for each series of each type of security. The discount rates can differ across
  series and types of securities to reflect different risk profiles.</t>
  </si>
  <si>
    <t>• Internal rate of return for the cash flow from each type of security</t>
  </si>
  <si>
    <t>The key results are collected on worksheets 'Investment', 'Shares', 'Valuation', and 'Payout'.</t>
  </si>
  <si>
    <t>Technical Notes</t>
  </si>
  <si>
    <t>Valuation and Security Prices</t>
  </si>
  <si>
    <t>The following principles determine valuation and securities prices</t>
  </si>
  <si>
    <t xml:space="preserve">1. The value of the firm at the start of each investment round is an exogenous input that reflects the expected
   future cash flows of the firm. </t>
  </si>
  <si>
    <t>2. In any phase of an investment round, the sum of the values of all five types of securities equals the value of
    the firm. Similarly, the sum of th values of all series of a given type of security equals the value of that type
    of security.</t>
  </si>
  <si>
    <t>3. All unconverted notes and preferred shares are valued at their liquidation preferences.</t>
  </si>
  <si>
    <t>4. All unexercised warrants and options are valued at max(0, common share price - exercise price).
   This valuation ignores impact on option price of stock volatility, riskless returns, and dividend rate.</t>
  </si>
  <si>
    <t>5. The total value of all common shares equals the value of the firm less liquidiation preferences of
    unconverted notes and preferred shares less valuation of unexercised warrants and options.
   The price of a common share equals the value of all common shares / number of common shares.</t>
  </si>
  <si>
    <t>Conversion and Exercise Decisions</t>
  </si>
  <si>
    <t>The model includes default decisions for conversion of notes and preferred shares and exercise of warrants and
options. Five criteria just be satisfied in order for the default conversion and exercise decision to be positive.</t>
  </si>
  <si>
    <t>1. The date of the current round &gt;= a specified trigger date</t>
  </si>
  <si>
    <t>2. The sum of investments in common, preferred and notes &gt; a specified trigger investment threshhold</t>
  </si>
  <si>
    <t>3. For notes and preferred: investment in notes + preferred &lt; a stated fraction of firm value.</t>
  </si>
  <si>
    <t>4. For notes and preferred: value of common shares obtained &gt; (1+premium) * liquidation preference.</t>
  </si>
  <si>
    <t>5. For warrants and options: common share price &gt;= exercise price."</t>
  </si>
  <si>
    <t>You can set numerous parameters that influence these default conversion and exercise decisions. You can also override these default decision rules entirely by entering how much of each type of security is converted or exercised in each investment round.</t>
  </si>
  <si>
    <t>Inputs to the Model</t>
  </si>
  <si>
    <t>You can edit inputs in cells shaded darker blue on the worksheets 'Inputs' and 'Scenario Inputs.'</t>
  </si>
  <si>
    <t>• The number of investment rounds and their names and dates.</t>
  </si>
  <si>
    <t>• The valuation of the enterprise at the start of each investment round.</t>
  </si>
  <si>
    <t>• The amount invested in new common shares, preferred shares, and convertible notes in each round.</t>
  </si>
  <si>
    <t>• The number of new warrants and options purchased in each investment round.</t>
  </si>
  <si>
    <t>− The number of shares for convertible notes is not determined until conversion.</t>
  </si>
  <si>
    <t>− Parameters that determine unit purchase prices, conversion timing, and conversion prices for preferred
    stock, warrants and options.</t>
  </si>
  <si>
    <t>• The exercise price and purchase price of each type of option at each transaction event.</t>
  </si>
  <si>
    <t>You can also override the model's assumption for conversion and exercise of securities by entering new conversion percentages in the dark blue cells in variable 'Converting %' on worksheet 'Conversion'.</t>
  </si>
  <si>
    <t>This Excel workbook was generated by ModelSheet on August 28, 2010, except for this worksheet of comments.</t>
  </si>
  <si>
    <t>Copyright © 2009, 2010 ModelSheet Software, LLC</t>
  </si>
  <si>
    <t>ModelSheet and the ModelSheet logo are registered trademarks of ModelSheet Software, LLC.</t>
  </si>
  <si>
    <t>If this Spreadsheet Solution lacks some of the features you need…</t>
  </si>
  <si>
    <t>We offer custom development services to add features you want to our spreadsheet solutions, and to build new solutions from scratch. For more information about our consulting services, see:</t>
  </si>
  <si>
    <t>http://www.modelsheetsoft.com/consulting-business-analysis.aspx</t>
  </si>
  <si>
    <t>To discuss your specific needs, please contact us at:</t>
  </si>
  <si>
    <t>info@modelsheetsoft.com.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</si>
</sst>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0_);[Red]\(&quot;$&quot;#,##0\)"/>
    <numFmt numFmtId="165" formatCode="&quot;$&quot;#,##0.00_);[Red]\(&quot;$&quot;#,##0.00\)"/>
    <numFmt numFmtId="166" formatCode="#,##0%"/>
    <numFmt numFmtId="167" formatCode="#,##0.0%"/>
    <numFmt numFmtId="168" formatCode="#,##0.000"/>
    <numFmt numFmtId="169" formatCode="#,##0.0"/>
    <numFmt numFmtId="170" formatCode="#,##0.00%"/>
    <numFmt numFmtId="171" formatCode="&quot;$&quot;#,##0.000_);[Red]\(&quot;$&quot;#,##0.000\)"/>
  </numFmts>
  <fonts count="41" x14ac:knownFonts="1">
    <font>
      <sz val="10"/>
      <name val="Arial"/>
      <family val="2"/>
    </font>
    <font>
      <sz val="10"/>
      <name val="Arial"/>
      <family val="2"/>
    </font>
    <font>
      <b/>
      <sz val="11"/>
      <color indexed="9"/>
      <name val="Calibri"/>
      <family val="2"/>
    </font>
    <font>
      <sz val="11"/>
      <color indexed="10"/>
      <name val="Calibri"/>
      <family val="2"/>
    </font>
    <font>
      <b/>
      <sz val="11"/>
      <color indexed="8"/>
      <name val="Calibri"/>
      <family val="2"/>
    </font>
    <font>
      <sz val="11"/>
      <color indexed="9"/>
      <name val="Calibri"/>
      <family val="2"/>
    </font>
    <font>
      <sz val="11"/>
      <color indexed="8"/>
      <name val="Calibri"/>
      <family val="2"/>
    </font>
    <font>
      <sz val="8"/>
      <color indexed="8"/>
      <name val="Arial"/>
      <family val="2"/>
    </font>
    <font>
      <b/>
      <sz val="8"/>
      <color indexed="8"/>
      <name val="Arial"/>
      <family val="2"/>
    </font>
    <font>
      <b/>
      <i/>
      <sz val="8"/>
      <color indexed="8"/>
      <name val="Arial"/>
      <family val="2"/>
    </font>
    <font>
      <i/>
      <sz val="8"/>
      <color indexed="8"/>
      <name val="Arial"/>
      <family val="2"/>
    </font>
    <font>
      <b/>
      <sz val="10"/>
      <color indexed="8"/>
      <name val="Arial"/>
      <family val="2"/>
    </font>
    <font>
      <sz val="8"/>
      <color indexed="8"/>
      <name val="Arial"/>
      <family val="2"/>
    </font>
    <font>
      <b/>
      <sz val="8"/>
      <color indexed="8"/>
      <name val="Arial"/>
      <family val="2"/>
    </font>
    <font>
      <b/>
      <u/>
      <sz val="9"/>
      <color indexed="8"/>
      <name val="Arial"/>
      <family val="2"/>
    </font>
    <font>
      <b/>
      <i/>
      <sz val="8"/>
      <color indexed="8"/>
      <name val="Arial"/>
      <family val="2"/>
    </font>
    <font>
      <i/>
      <sz val="8"/>
      <color indexed="8"/>
      <name val="Arial"/>
      <family val="2"/>
    </font>
    <font>
      <b/>
      <sz val="8"/>
      <name val="Arial"/>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2"/>
      <name val="Arial"/>
      <family val="2"/>
    </font>
    <font>
      <b/>
      <sz val="14"/>
      <name val="Arial"/>
      <family val="2"/>
    </font>
    <font>
      <b/>
      <sz val="11"/>
      <color indexed="10"/>
      <name val="Arial"/>
      <family val="2"/>
    </font>
    <font>
      <sz val="10"/>
      <color indexed="10"/>
      <name val="Arial"/>
      <family val="2"/>
    </font>
    <font>
      <b/>
      <i/>
      <sz val="10"/>
      <name val="Arial"/>
      <family val="2"/>
    </font>
    <font>
      <b/>
      <sz val="10"/>
      <name val="Arial"/>
      <family val="2"/>
    </font>
    <font>
      <u/>
      <sz val="10"/>
      <color theme="10"/>
      <name val="Arial"/>
      <family val="2"/>
    </font>
    <font>
      <b/>
      <sz val="11"/>
      <name val="Arial"/>
      <family val="2"/>
    </font>
    <font>
      <sz val="10"/>
      <name val="Times New Roman"/>
      <family val="1"/>
    </font>
    <font>
      <sz val="10"/>
      <name val="Calibri"/>
      <family val="2"/>
    </font>
    <font>
      <sz val="10"/>
      <color indexed="8"/>
      <name val="Arial"/>
      <family val="2"/>
    </font>
  </fonts>
  <fills count="38">
    <fill>
      <patternFill patternType="none"/>
    </fill>
    <fill>
      <patternFill patternType="gray125"/>
    </fill>
    <fill>
      <patternFill patternType="solid">
        <fgColor indexed="28"/>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rgb="FFCCCCFF"/>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9"/>
      </left>
      <right style="thin">
        <color indexed="9"/>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s>
  <cellStyleXfs count="297">
    <xf numFmtId="0" fontId="0" fillId="0" borderId="0">
      <alignment vertical="center"/>
    </xf>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18" fillId="30" borderId="0" applyNumberFormat="0" applyBorder="0" applyAlignment="0" applyProtection="0"/>
    <xf numFmtId="0" fontId="19" fillId="31" borderId="15" applyNumberFormat="0" applyAlignment="0" applyProtection="0"/>
    <xf numFmtId="0" fontId="2" fillId="32" borderId="16" applyNumberFormat="0" applyAlignment="0" applyProtection="0"/>
    <xf numFmtId="0" fontId="20" fillId="0" borderId="0" applyNumberFormat="0" applyFill="0" applyBorder="0" applyAlignment="0" applyProtection="0"/>
    <xf numFmtId="0" fontId="21" fillId="33" borderId="0" applyNumberFormat="0" applyBorder="0" applyAlignment="0" applyProtection="0"/>
    <xf numFmtId="0" fontId="22" fillId="0" borderId="17"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5" fillId="4" borderId="15" applyNumberFormat="0" applyAlignment="0" applyProtection="0"/>
    <xf numFmtId="0" fontId="26" fillId="0" borderId="20" applyNumberFormat="0" applyFill="0" applyAlignment="0" applyProtection="0"/>
    <xf numFmtId="0" fontId="11" fillId="5" borderId="0" applyBorder="0">
      <alignment vertical="top" shrinkToFit="1"/>
    </xf>
    <xf numFmtId="0" fontId="12" fillId="5" borderId="0" applyBorder="0">
      <alignment vertical="top" shrinkToFit="1"/>
    </xf>
    <xf numFmtId="0" fontId="13" fillId="5" borderId="1">
      <alignment vertical="top" shrinkToFit="1"/>
    </xf>
    <xf numFmtId="0" fontId="13" fillId="3" borderId="1">
      <alignment horizontal="left" vertical="top" shrinkToFit="1"/>
      <protection locked="0"/>
    </xf>
    <xf numFmtId="0" fontId="14" fillId="5" borderId="0" applyBorder="0">
      <alignment vertical="top" shrinkToFit="1"/>
    </xf>
    <xf numFmtId="0" fontId="13" fillId="5" borderId="2">
      <alignment horizontal="center" vertical="top" shrinkToFit="1"/>
    </xf>
    <xf numFmtId="0" fontId="13" fillId="5" borderId="3">
      <alignment horizontal="center" vertical="top" shrinkToFit="1"/>
    </xf>
    <xf numFmtId="0" fontId="13" fillId="5" borderId="4">
      <alignment horizontal="center" vertical="top" shrinkToFit="1"/>
    </xf>
    <xf numFmtId="14" fontId="13" fillId="3" borderId="3">
      <alignment horizontal="right" vertical="top" shrinkToFit="1"/>
      <protection locked="0"/>
    </xf>
    <xf numFmtId="14" fontId="13" fillId="3" borderId="4">
      <alignment horizontal="right" vertical="top" shrinkToFit="1"/>
      <protection locked="0"/>
    </xf>
    <xf numFmtId="0" fontId="13" fillId="5" borderId="5">
      <alignment vertical="top" shrinkToFit="1"/>
    </xf>
    <xf numFmtId="166" fontId="13" fillId="3" borderId="6">
      <alignment horizontal="right" vertical="top" shrinkToFit="1"/>
      <protection locked="0"/>
    </xf>
    <xf numFmtId="168" fontId="13" fillId="3" borderId="6">
      <alignment horizontal="right" vertical="top" shrinkToFit="1"/>
      <protection locked="0"/>
    </xf>
    <xf numFmtId="167" fontId="13" fillId="3" borderId="7">
      <alignment horizontal="right" vertical="top" shrinkToFit="1"/>
      <protection locked="0"/>
    </xf>
    <xf numFmtId="0" fontId="13" fillId="5" borderId="8">
      <alignment vertical="top" shrinkToFit="1"/>
    </xf>
    <xf numFmtId="166" fontId="13" fillId="3" borderId="9">
      <alignment horizontal="right" vertical="top" shrinkToFit="1"/>
      <protection locked="0"/>
    </xf>
    <xf numFmtId="168" fontId="13" fillId="3" borderId="9">
      <alignment horizontal="right" vertical="top" shrinkToFit="1"/>
      <protection locked="0"/>
    </xf>
    <xf numFmtId="167" fontId="13" fillId="3" borderId="10">
      <alignment horizontal="right" vertical="top" shrinkToFit="1"/>
      <protection locked="0"/>
    </xf>
    <xf numFmtId="14" fontId="13" fillId="3" borderId="6">
      <alignment horizontal="right" vertical="top" shrinkToFit="1"/>
      <protection locked="0"/>
    </xf>
    <xf numFmtId="164" fontId="13" fillId="3" borderId="6">
      <alignment horizontal="right" vertical="top" shrinkToFit="1"/>
      <protection locked="0"/>
    </xf>
    <xf numFmtId="4" fontId="13" fillId="3" borderId="7">
      <alignment horizontal="right" vertical="top" shrinkToFit="1"/>
      <protection locked="0"/>
    </xf>
    <xf numFmtId="14" fontId="13" fillId="3" borderId="9">
      <alignment horizontal="right" vertical="top" shrinkToFit="1"/>
      <protection locked="0"/>
    </xf>
    <xf numFmtId="164" fontId="13" fillId="3" borderId="9">
      <alignment horizontal="right" vertical="top" shrinkToFit="1"/>
      <protection locked="0"/>
    </xf>
    <xf numFmtId="4" fontId="13" fillId="3" borderId="10">
      <alignment horizontal="right" vertical="top" shrinkToFit="1"/>
      <protection locked="0"/>
    </xf>
    <xf numFmtId="0" fontId="13" fillId="5" borderId="1">
      <alignment horizontal="center" vertical="top" shrinkToFit="1"/>
    </xf>
    <xf numFmtId="164" fontId="13" fillId="5" borderId="6">
      <alignment horizontal="right" vertical="top" shrinkToFit="1"/>
    </xf>
    <xf numFmtId="164" fontId="13" fillId="5" borderId="5">
      <alignment horizontal="right" vertical="top" shrinkToFit="1"/>
    </xf>
    <xf numFmtId="0" fontId="15" fillId="5" borderId="11">
      <alignment vertical="top" shrinkToFit="1"/>
    </xf>
    <xf numFmtId="164" fontId="12" fillId="3" borderId="0" applyBorder="0">
      <alignment horizontal="right" vertical="top" shrinkToFit="1"/>
      <protection locked="0"/>
    </xf>
    <xf numFmtId="164" fontId="13" fillId="5" borderId="11">
      <alignment horizontal="right" vertical="top" shrinkToFit="1"/>
    </xf>
    <xf numFmtId="164" fontId="13" fillId="5" borderId="9">
      <alignment horizontal="right" vertical="top" shrinkToFit="1"/>
    </xf>
    <xf numFmtId="164" fontId="13" fillId="5" borderId="8">
      <alignment horizontal="right" vertical="top" shrinkToFit="1"/>
    </xf>
    <xf numFmtId="0" fontId="13" fillId="5" borderId="0" applyBorder="0">
      <alignment vertical="top" shrinkToFit="1"/>
    </xf>
    <xf numFmtId="167" fontId="13" fillId="5" borderId="6">
      <alignment horizontal="right" vertical="top" shrinkToFit="1"/>
    </xf>
    <xf numFmtId="167" fontId="13" fillId="5" borderId="7">
      <alignment horizontal="right" vertical="top" shrinkToFit="1"/>
    </xf>
    <xf numFmtId="0" fontId="15" fillId="5" borderId="8">
      <alignment vertical="top" shrinkToFit="1"/>
    </xf>
    <xf numFmtId="167" fontId="12" fillId="3" borderId="9">
      <alignment horizontal="right" vertical="top" shrinkToFit="1"/>
      <protection locked="0"/>
    </xf>
    <xf numFmtId="167" fontId="12" fillId="3" borderId="10">
      <alignment horizontal="right" vertical="top" shrinkToFit="1"/>
      <protection locked="0"/>
    </xf>
    <xf numFmtId="168" fontId="13" fillId="3" borderId="3">
      <alignment horizontal="right" vertical="top" shrinkToFit="1"/>
      <protection locked="0"/>
    </xf>
    <xf numFmtId="167" fontId="13" fillId="3" borderId="4">
      <alignment horizontal="right" vertical="top" shrinkToFit="1"/>
      <protection locked="0"/>
    </xf>
    <xf numFmtId="164" fontId="13" fillId="3" borderId="3">
      <alignment horizontal="right" vertical="top" shrinkToFit="1"/>
      <protection locked="0"/>
    </xf>
    <xf numFmtId="166" fontId="13" fillId="3" borderId="3">
      <alignment horizontal="right" vertical="top" shrinkToFit="1"/>
      <protection locked="0"/>
    </xf>
    <xf numFmtId="4" fontId="13" fillId="3" borderId="4">
      <alignment horizontal="right" vertical="top" shrinkToFit="1"/>
      <protection locked="0"/>
    </xf>
    <xf numFmtId="165" fontId="13" fillId="3" borderId="1">
      <alignment horizontal="right" vertical="top" shrinkToFit="1"/>
      <protection locked="0"/>
    </xf>
    <xf numFmtId="168" fontId="13" fillId="3" borderId="4">
      <alignment horizontal="right" vertical="top" shrinkToFit="1"/>
      <protection locked="0"/>
    </xf>
    <xf numFmtId="165" fontId="13" fillId="3" borderId="3">
      <alignment horizontal="right" vertical="top" shrinkToFit="1"/>
      <protection locked="0"/>
    </xf>
    <xf numFmtId="165" fontId="13" fillId="5" borderId="1">
      <alignment horizontal="right" vertical="top" shrinkToFit="1"/>
    </xf>
    <xf numFmtId="164" fontId="13" fillId="5" borderId="1">
      <alignment horizontal="right" vertical="top" shrinkToFit="1"/>
    </xf>
    <xf numFmtId="166" fontId="13" fillId="5" borderId="5">
      <alignment horizontal="right" vertical="top" shrinkToFit="1"/>
    </xf>
    <xf numFmtId="166" fontId="13" fillId="3" borderId="11">
      <alignment horizontal="right" vertical="top" shrinkToFit="1"/>
      <protection locked="0"/>
    </xf>
    <xf numFmtId="166" fontId="13" fillId="3" borderId="8">
      <alignment horizontal="right" vertical="top" shrinkToFit="1"/>
      <protection locked="0"/>
    </xf>
    <xf numFmtId="165" fontId="13" fillId="5" borderId="6">
      <alignment horizontal="right" vertical="top" shrinkToFit="1"/>
    </xf>
    <xf numFmtId="165" fontId="13" fillId="5" borderId="7">
      <alignment horizontal="right" vertical="top" shrinkToFit="1"/>
    </xf>
    <xf numFmtId="165" fontId="12" fillId="3" borderId="0" applyBorder="0">
      <alignment horizontal="right" vertical="top" shrinkToFit="1"/>
      <protection locked="0"/>
    </xf>
    <xf numFmtId="165" fontId="12" fillId="3" borderId="12">
      <alignment horizontal="right" vertical="top" shrinkToFit="1"/>
      <protection locked="0"/>
    </xf>
    <xf numFmtId="165" fontId="12" fillId="3" borderId="9">
      <alignment horizontal="right" vertical="top" shrinkToFit="1"/>
      <protection locked="0"/>
    </xf>
    <xf numFmtId="165" fontId="12" fillId="3" borderId="10">
      <alignment horizontal="right" vertical="top" shrinkToFit="1"/>
      <protection locked="0"/>
    </xf>
    <xf numFmtId="166" fontId="13" fillId="3" borderId="7">
      <alignment horizontal="right" vertical="top" shrinkToFit="1"/>
      <protection locked="0"/>
    </xf>
    <xf numFmtId="165" fontId="13" fillId="5" borderId="9">
      <alignment horizontal="right" vertical="top" shrinkToFit="1"/>
    </xf>
    <xf numFmtId="166" fontId="13" fillId="3" borderId="10">
      <alignment horizontal="right" vertical="top" shrinkToFit="1"/>
      <protection locked="0"/>
    </xf>
    <xf numFmtId="169" fontId="13" fillId="5" borderId="6">
      <alignment horizontal="right" vertical="top" shrinkToFit="1"/>
    </xf>
    <xf numFmtId="169" fontId="13" fillId="5" borderId="5">
      <alignment horizontal="right" vertical="top" shrinkToFit="1"/>
    </xf>
    <xf numFmtId="169" fontId="12" fillId="3" borderId="0" applyBorder="0">
      <alignment horizontal="right" vertical="top" shrinkToFit="1"/>
      <protection locked="0"/>
    </xf>
    <xf numFmtId="169" fontId="13" fillId="5" borderId="11">
      <alignment horizontal="right" vertical="top" shrinkToFit="1"/>
    </xf>
    <xf numFmtId="169" fontId="13" fillId="5" borderId="9">
      <alignment horizontal="right" vertical="top" shrinkToFit="1"/>
    </xf>
    <xf numFmtId="169" fontId="13" fillId="5" borderId="8">
      <alignment horizontal="right" vertical="top" shrinkToFit="1"/>
    </xf>
    <xf numFmtId="164" fontId="13" fillId="3" borderId="11">
      <alignment horizontal="right" vertical="top" shrinkToFit="1"/>
      <protection locked="0"/>
    </xf>
    <xf numFmtId="164" fontId="13" fillId="3" borderId="8">
      <alignment horizontal="right" vertical="top" shrinkToFit="1"/>
      <protection locked="0"/>
    </xf>
    <xf numFmtId="170" fontId="13" fillId="5" borderId="6">
      <alignment horizontal="right" vertical="top" shrinkToFit="1"/>
    </xf>
    <xf numFmtId="4" fontId="13" fillId="5" borderId="7">
      <alignment horizontal="right" vertical="top" shrinkToFit="1"/>
    </xf>
    <xf numFmtId="164" fontId="15" fillId="5" borderId="0" applyBorder="0">
      <alignment horizontal="right" vertical="top" shrinkToFit="1"/>
    </xf>
    <xf numFmtId="170" fontId="15" fillId="5" borderId="0" applyBorder="0">
      <alignment horizontal="right" vertical="top" shrinkToFit="1"/>
    </xf>
    <xf numFmtId="4" fontId="15" fillId="5" borderId="12">
      <alignment horizontal="right" vertical="top" shrinkToFit="1"/>
    </xf>
    <xf numFmtId="0" fontId="13" fillId="5" borderId="11">
      <alignment vertical="top" shrinkToFit="1"/>
    </xf>
    <xf numFmtId="164" fontId="13" fillId="5" borderId="0" applyBorder="0">
      <alignment horizontal="right" vertical="top" shrinkToFit="1"/>
    </xf>
    <xf numFmtId="170" fontId="13" fillId="5" borderId="0" applyBorder="0">
      <alignment horizontal="right" vertical="top" shrinkToFit="1"/>
    </xf>
    <xf numFmtId="4" fontId="13" fillId="5" borderId="12">
      <alignment horizontal="right" vertical="top" shrinkToFit="1"/>
    </xf>
    <xf numFmtId="164" fontId="13" fillId="5" borderId="3">
      <alignment horizontal="right" vertical="top" shrinkToFit="1"/>
    </xf>
    <xf numFmtId="170" fontId="13" fillId="5" borderId="3">
      <alignment horizontal="right" vertical="top" shrinkToFit="1"/>
    </xf>
    <xf numFmtId="4" fontId="13" fillId="5" borderId="4">
      <alignment horizontal="right" vertical="top" shrinkToFit="1"/>
    </xf>
    <xf numFmtId="166" fontId="13" fillId="5" borderId="6">
      <alignment horizontal="right" vertical="top" shrinkToFit="1"/>
    </xf>
    <xf numFmtId="166" fontId="13" fillId="5" borderId="7">
      <alignment horizontal="right" vertical="top" shrinkToFit="1"/>
    </xf>
    <xf numFmtId="166" fontId="15" fillId="5" borderId="0" applyBorder="0">
      <alignment horizontal="right" vertical="top" shrinkToFit="1"/>
    </xf>
    <xf numFmtId="166" fontId="15" fillId="5" borderId="12">
      <alignment horizontal="right" vertical="top" shrinkToFit="1"/>
    </xf>
    <xf numFmtId="166" fontId="13" fillId="5" borderId="0" applyBorder="0">
      <alignment horizontal="right" vertical="top" shrinkToFit="1"/>
    </xf>
    <xf numFmtId="166" fontId="13" fillId="5" borderId="12">
      <alignment horizontal="right" vertical="top" shrinkToFit="1"/>
    </xf>
    <xf numFmtId="166" fontId="13" fillId="3" borderId="12">
      <alignment horizontal="right" vertical="top" shrinkToFit="1"/>
      <protection locked="0"/>
    </xf>
    <xf numFmtId="166" fontId="13" fillId="5" borderId="3">
      <alignment horizontal="right" vertical="top" shrinkToFit="1"/>
    </xf>
    <xf numFmtId="166" fontId="13" fillId="5" borderId="4">
      <alignment horizontal="right" vertical="top" shrinkToFit="1"/>
    </xf>
    <xf numFmtId="0" fontId="16" fillId="5" borderId="11">
      <alignment vertical="top" shrinkToFit="1"/>
    </xf>
    <xf numFmtId="164" fontId="16" fillId="5" borderId="0" applyBorder="0">
      <alignment horizontal="right" vertical="top" shrinkToFit="1"/>
    </xf>
    <xf numFmtId="164" fontId="12" fillId="5" borderId="0" applyBorder="0">
      <alignment horizontal="right" vertical="top" shrinkToFit="1"/>
    </xf>
    <xf numFmtId="0" fontId="13" fillId="5" borderId="3">
      <alignment vertical="top" shrinkToFit="1"/>
    </xf>
    <xf numFmtId="164" fontId="15" fillId="5" borderId="9">
      <alignment horizontal="right" vertical="top" shrinkToFit="1"/>
    </xf>
    <xf numFmtId="14" fontId="13" fillId="5" borderId="3">
      <alignment horizontal="center" vertical="top" shrinkToFit="1"/>
    </xf>
    <xf numFmtId="14" fontId="13" fillId="5" borderId="4">
      <alignment horizontal="center" vertical="top" shrinkToFit="1"/>
    </xf>
    <xf numFmtId="169" fontId="13" fillId="5" borderId="7">
      <alignment horizontal="right" vertical="top" shrinkToFit="1"/>
    </xf>
    <xf numFmtId="169" fontId="15" fillId="5" borderId="0" applyBorder="0">
      <alignment horizontal="right" vertical="top" shrinkToFit="1"/>
    </xf>
    <xf numFmtId="169" fontId="15" fillId="5" borderId="12">
      <alignment horizontal="right" vertical="top" shrinkToFit="1"/>
    </xf>
    <xf numFmtId="169" fontId="16" fillId="5" borderId="0" applyBorder="0">
      <alignment horizontal="right" vertical="top" shrinkToFit="1"/>
    </xf>
    <xf numFmtId="169" fontId="16" fillId="5" borderId="12">
      <alignment horizontal="right" vertical="top" shrinkToFit="1"/>
    </xf>
    <xf numFmtId="0" fontId="16" fillId="5" borderId="8">
      <alignment vertical="top" shrinkToFit="1"/>
    </xf>
    <xf numFmtId="169" fontId="16" fillId="5" borderId="9">
      <alignment horizontal="right" vertical="top" shrinkToFit="1"/>
    </xf>
    <xf numFmtId="169" fontId="16" fillId="5" borderId="10">
      <alignment horizontal="right" vertical="top" shrinkToFit="1"/>
    </xf>
    <xf numFmtId="169" fontId="12" fillId="5" borderId="0" applyBorder="0">
      <alignment horizontal="right" vertical="top" shrinkToFit="1"/>
    </xf>
    <xf numFmtId="169" fontId="15" fillId="5" borderId="9">
      <alignment horizontal="right" vertical="top" shrinkToFit="1"/>
    </xf>
    <xf numFmtId="170" fontId="13" fillId="5" borderId="7">
      <alignment horizontal="right" vertical="top" shrinkToFit="1"/>
    </xf>
    <xf numFmtId="170" fontId="15" fillId="5" borderId="12">
      <alignment horizontal="right" vertical="top" shrinkToFit="1"/>
    </xf>
    <xf numFmtId="170" fontId="16" fillId="3" borderId="0" applyBorder="0">
      <alignment horizontal="right" vertical="top" shrinkToFit="1"/>
      <protection locked="0"/>
    </xf>
    <xf numFmtId="170" fontId="16" fillId="3" borderId="12">
      <alignment horizontal="right" vertical="top" shrinkToFit="1"/>
      <protection locked="0"/>
    </xf>
    <xf numFmtId="170" fontId="15" fillId="3" borderId="0" applyBorder="0">
      <alignment horizontal="right" vertical="top" shrinkToFit="1"/>
      <protection locked="0"/>
    </xf>
    <xf numFmtId="170" fontId="15" fillId="3" borderId="12">
      <alignment horizontal="right" vertical="top" shrinkToFit="1"/>
      <protection locked="0"/>
    </xf>
    <xf numFmtId="170" fontId="16" fillId="3" borderId="9">
      <alignment horizontal="right" vertical="top" shrinkToFit="1"/>
      <protection locked="0"/>
    </xf>
    <xf numFmtId="170" fontId="16" fillId="3" borderId="10">
      <alignment horizontal="right" vertical="top" shrinkToFit="1"/>
      <protection locked="0"/>
    </xf>
    <xf numFmtId="3" fontId="13" fillId="5" borderId="6">
      <alignment horizontal="right" vertical="top" shrinkToFit="1"/>
    </xf>
    <xf numFmtId="3" fontId="13" fillId="5" borderId="7">
      <alignment horizontal="right" vertical="top" shrinkToFit="1"/>
    </xf>
    <xf numFmtId="3" fontId="15" fillId="5" borderId="0" applyBorder="0">
      <alignment horizontal="right" vertical="top" shrinkToFit="1"/>
    </xf>
    <xf numFmtId="3" fontId="15" fillId="5" borderId="12">
      <alignment horizontal="right" vertical="top" shrinkToFit="1"/>
    </xf>
    <xf numFmtId="3" fontId="16" fillId="5" borderId="0" applyBorder="0">
      <alignment horizontal="right" vertical="top" shrinkToFit="1"/>
    </xf>
    <xf numFmtId="3" fontId="16" fillId="5" borderId="12">
      <alignment horizontal="right" vertical="top" shrinkToFit="1"/>
    </xf>
    <xf numFmtId="3" fontId="16" fillId="5" borderId="9">
      <alignment horizontal="right" vertical="top" shrinkToFit="1"/>
    </xf>
    <xf numFmtId="3" fontId="16" fillId="5" borderId="10">
      <alignment horizontal="right" vertical="top" shrinkToFit="1"/>
    </xf>
    <xf numFmtId="3" fontId="12" fillId="5" borderId="0" applyBorder="0">
      <alignment horizontal="right" vertical="top" shrinkToFit="1"/>
    </xf>
    <xf numFmtId="3" fontId="12" fillId="5" borderId="12">
      <alignment horizontal="right" vertical="top" shrinkToFit="1"/>
    </xf>
    <xf numFmtId="3" fontId="12" fillId="5" borderId="9">
      <alignment horizontal="right" vertical="top" shrinkToFit="1"/>
    </xf>
    <xf numFmtId="3" fontId="12" fillId="5" borderId="10">
      <alignment horizontal="right" vertical="top" shrinkToFit="1"/>
    </xf>
    <xf numFmtId="165" fontId="15" fillId="5" borderId="0" applyBorder="0">
      <alignment horizontal="right" vertical="top" shrinkToFit="1"/>
    </xf>
    <xf numFmtId="165" fontId="15" fillId="5" borderId="12">
      <alignment horizontal="right" vertical="top" shrinkToFit="1"/>
    </xf>
    <xf numFmtId="165" fontId="15" fillId="3" borderId="0" applyBorder="0">
      <alignment horizontal="right" vertical="top" shrinkToFit="1"/>
      <protection locked="0"/>
    </xf>
    <xf numFmtId="165" fontId="15" fillId="3" borderId="12">
      <alignment horizontal="right" vertical="top" shrinkToFit="1"/>
      <protection locked="0"/>
    </xf>
    <xf numFmtId="165" fontId="12" fillId="5" borderId="0" applyBorder="0">
      <alignment horizontal="right" vertical="top" shrinkToFit="1"/>
    </xf>
    <xf numFmtId="165" fontId="12" fillId="5" borderId="12">
      <alignment horizontal="right" vertical="top" shrinkToFit="1"/>
    </xf>
    <xf numFmtId="165" fontId="12" fillId="5" borderId="9">
      <alignment horizontal="right" vertical="top" shrinkToFit="1"/>
    </xf>
    <xf numFmtId="165" fontId="12" fillId="5" borderId="10">
      <alignment horizontal="right" vertical="top" shrinkToFit="1"/>
    </xf>
    <xf numFmtId="165" fontId="13" fillId="5" borderId="5">
      <alignment horizontal="right" vertical="top" shrinkToFit="1"/>
    </xf>
    <xf numFmtId="165" fontId="13" fillId="5" borderId="11">
      <alignment horizontal="right" vertical="top" shrinkToFit="1"/>
    </xf>
    <xf numFmtId="165" fontId="13" fillId="5" borderId="8">
      <alignment horizontal="right" vertical="top" shrinkToFit="1"/>
    </xf>
    <xf numFmtId="165" fontId="13" fillId="5" borderId="3">
      <alignment horizontal="right" vertical="top" shrinkToFit="1"/>
    </xf>
    <xf numFmtId="169" fontId="13" fillId="5" borderId="0" applyBorder="0">
      <alignment horizontal="right" vertical="top" shrinkToFit="1"/>
    </xf>
    <xf numFmtId="14" fontId="12" fillId="5" borderId="3">
      <alignment horizontal="center" vertical="top" shrinkToFit="1"/>
    </xf>
    <xf numFmtId="14" fontId="12" fillId="5" borderId="4">
      <alignment horizontal="center" vertical="top" shrinkToFit="1"/>
    </xf>
    <xf numFmtId="164" fontId="12" fillId="5" borderId="3">
      <alignment horizontal="right" vertical="top" shrinkToFit="1"/>
    </xf>
    <xf numFmtId="164" fontId="12" fillId="5" borderId="4">
      <alignment horizontal="right" vertical="top" shrinkToFit="1"/>
    </xf>
    <xf numFmtId="170" fontId="13" fillId="5" borderId="12">
      <alignment horizontal="right" vertical="top" shrinkToFit="1"/>
    </xf>
    <xf numFmtId="170" fontId="13" fillId="5" borderId="4">
      <alignment horizontal="right" vertical="top" shrinkToFit="1"/>
    </xf>
    <xf numFmtId="170" fontId="13" fillId="5" borderId="11">
      <alignment horizontal="right" vertical="top" shrinkToFit="1"/>
    </xf>
    <xf numFmtId="170" fontId="12" fillId="5" borderId="0" applyBorder="0">
      <alignment horizontal="right" vertical="top" shrinkToFit="1"/>
    </xf>
    <xf numFmtId="170" fontId="13" fillId="5" borderId="9">
      <alignment horizontal="right" vertical="top" shrinkToFit="1"/>
    </xf>
    <xf numFmtId="170" fontId="13" fillId="5" borderId="8">
      <alignment horizontal="right" vertical="top" shrinkToFit="1"/>
    </xf>
    <xf numFmtId="0" fontId="13" fillId="5" borderId="3">
      <alignment horizontal="left" vertical="top" shrinkToFit="1"/>
    </xf>
    <xf numFmtId="0" fontId="13" fillId="2" borderId="0" applyBorder="0">
      <alignment vertical="top" shrinkToFit="1"/>
    </xf>
    <xf numFmtId="0" fontId="16" fillId="2" borderId="0" applyBorder="0">
      <alignment vertical="top" shrinkToFit="1"/>
    </xf>
    <xf numFmtId="0" fontId="13" fillId="2" borderId="0" applyBorder="0">
      <alignment horizontal="right" vertical="top" shrinkToFit="1"/>
    </xf>
    <xf numFmtId="0" fontId="12" fillId="2" borderId="0" applyBorder="0">
      <alignment vertical="top" shrinkToFit="1"/>
    </xf>
    <xf numFmtId="0" fontId="16" fillId="5" borderId="3">
      <alignment vertical="top" shrinkToFit="1"/>
    </xf>
    <xf numFmtId="0" fontId="13" fillId="5" borderId="3">
      <alignment horizontal="right" vertical="top" shrinkToFit="1"/>
    </xf>
    <xf numFmtId="166" fontId="13" fillId="5" borderId="11">
      <alignment horizontal="right" vertical="top" shrinkToFit="1"/>
    </xf>
    <xf numFmtId="14" fontId="13" fillId="5" borderId="5">
      <alignment horizontal="right" vertical="top" shrinkToFit="1"/>
    </xf>
    <xf numFmtId="14" fontId="13" fillId="5" borderId="11">
      <alignment horizontal="right" vertical="top" shrinkToFit="1"/>
    </xf>
    <xf numFmtId="14" fontId="13" fillId="3" borderId="11">
      <alignment horizontal="right" vertical="top" shrinkToFit="1"/>
      <protection locked="0"/>
    </xf>
    <xf numFmtId="14" fontId="13" fillId="5" borderId="8">
      <alignment horizontal="right" vertical="top" shrinkToFit="1"/>
    </xf>
    <xf numFmtId="166" fontId="13" fillId="5" borderId="8">
      <alignment horizontal="right" vertical="top" shrinkToFit="1"/>
    </xf>
    <xf numFmtId="167" fontId="13" fillId="5" borderId="5">
      <alignment horizontal="right" vertical="top" shrinkToFit="1"/>
    </xf>
    <xf numFmtId="167" fontId="13" fillId="5" borderId="11">
      <alignment horizontal="right" vertical="top" shrinkToFit="1"/>
    </xf>
    <xf numFmtId="167" fontId="13" fillId="3" borderId="11">
      <alignment horizontal="right" vertical="top" shrinkToFit="1"/>
      <protection locked="0"/>
    </xf>
    <xf numFmtId="167" fontId="13" fillId="3" borderId="8">
      <alignment horizontal="right" vertical="top" shrinkToFit="1"/>
      <protection locked="0"/>
    </xf>
    <xf numFmtId="168" fontId="13" fillId="5" borderId="5">
      <alignment horizontal="right" vertical="top" shrinkToFit="1"/>
    </xf>
    <xf numFmtId="168" fontId="13" fillId="5" borderId="11">
      <alignment horizontal="right" vertical="top" shrinkToFit="1"/>
    </xf>
    <xf numFmtId="168" fontId="13" fillId="3" borderId="11">
      <alignment horizontal="right" vertical="top" shrinkToFit="1"/>
      <protection locked="0"/>
    </xf>
    <xf numFmtId="168" fontId="13" fillId="3" borderId="8">
      <alignment horizontal="right" vertical="top" shrinkToFit="1"/>
      <protection locked="0"/>
    </xf>
    <xf numFmtId="4" fontId="13" fillId="5" borderId="5">
      <alignment horizontal="right" vertical="top" shrinkToFit="1"/>
    </xf>
    <xf numFmtId="4" fontId="13" fillId="5" borderId="11">
      <alignment horizontal="right" vertical="top" shrinkToFit="1"/>
    </xf>
    <xf numFmtId="4" fontId="13" fillId="3" borderId="11">
      <alignment horizontal="right" vertical="top" shrinkToFit="1"/>
      <protection locked="0"/>
    </xf>
    <xf numFmtId="4" fontId="13" fillId="3" borderId="8">
      <alignment horizontal="right" vertical="top" shrinkToFit="1"/>
      <protection locked="0"/>
    </xf>
    <xf numFmtId="167" fontId="15" fillId="5" borderId="0" applyBorder="0">
      <alignment horizontal="right" vertical="top" shrinkToFit="1"/>
    </xf>
    <xf numFmtId="167" fontId="15" fillId="5" borderId="12">
      <alignment horizontal="right" vertical="top" shrinkToFit="1"/>
    </xf>
    <xf numFmtId="167" fontId="12" fillId="3" borderId="0" applyBorder="0">
      <alignment horizontal="right" vertical="top" shrinkToFit="1"/>
      <protection locked="0"/>
    </xf>
    <xf numFmtId="167" fontId="12" fillId="3" borderId="12">
      <alignment horizontal="right" vertical="top" shrinkToFit="1"/>
      <protection locked="0"/>
    </xf>
    <xf numFmtId="167" fontId="12" fillId="5" borderId="0" applyBorder="0">
      <alignment horizontal="right" vertical="top" shrinkToFit="1"/>
    </xf>
    <xf numFmtId="167" fontId="12" fillId="5" borderId="12">
      <alignment horizontal="right" vertical="top" shrinkToFit="1"/>
    </xf>
    <xf numFmtId="167" fontId="15" fillId="3" borderId="0" applyBorder="0">
      <alignment horizontal="right" vertical="top" shrinkToFit="1"/>
      <protection locked="0"/>
    </xf>
    <xf numFmtId="167" fontId="15" fillId="3" borderId="12">
      <alignment horizontal="right" vertical="top" shrinkToFit="1"/>
      <protection locked="0"/>
    </xf>
    <xf numFmtId="164" fontId="15" fillId="3" borderId="0" applyBorder="0">
      <alignment horizontal="right" vertical="top" shrinkToFit="1"/>
      <protection locked="0"/>
    </xf>
    <xf numFmtId="169" fontId="15" fillId="3" borderId="0" applyBorder="0">
      <alignment horizontal="right" vertical="top" shrinkToFit="1"/>
      <protection locked="0"/>
    </xf>
    <xf numFmtId="167" fontId="13" fillId="5" borderId="8">
      <alignment horizontal="right" vertical="top" shrinkToFit="1"/>
    </xf>
    <xf numFmtId="0" fontId="13" fillId="5" borderId="5">
      <alignment horizontal="left" vertical="top" shrinkToFit="1"/>
    </xf>
    <xf numFmtId="0" fontId="13" fillId="5" borderId="11">
      <alignment horizontal="left" vertical="top" shrinkToFit="1"/>
    </xf>
    <xf numFmtId="0" fontId="13" fillId="5" borderId="8">
      <alignment horizontal="left" vertical="top" shrinkToFit="1"/>
    </xf>
    <xf numFmtId="164" fontId="13" fillId="5" borderId="7">
      <alignment horizontal="right" vertical="top" shrinkToFit="1"/>
    </xf>
    <xf numFmtId="164" fontId="13" fillId="5" borderId="12">
      <alignment horizontal="right" vertical="top" shrinkToFit="1"/>
    </xf>
    <xf numFmtId="164" fontId="13" fillId="5" borderId="4">
      <alignment horizontal="right" vertical="top" shrinkToFit="1"/>
    </xf>
    <xf numFmtId="165" fontId="13" fillId="5" borderId="12">
      <alignment horizontal="right" vertical="top" shrinkToFit="1"/>
    </xf>
    <xf numFmtId="165" fontId="15" fillId="5" borderId="10">
      <alignment horizontal="right" vertical="top" shrinkToFit="1"/>
    </xf>
    <xf numFmtId="171" fontId="13" fillId="5" borderId="6">
      <alignment horizontal="right" vertical="top" shrinkToFit="1"/>
    </xf>
    <xf numFmtId="171" fontId="13" fillId="5" borderId="5">
      <alignment horizontal="right" vertical="top" shrinkToFit="1"/>
    </xf>
    <xf numFmtId="171" fontId="15" fillId="5" borderId="0" applyBorder="0">
      <alignment horizontal="right" vertical="top" shrinkToFit="1"/>
    </xf>
    <xf numFmtId="171" fontId="13" fillId="5" borderId="11">
      <alignment horizontal="right" vertical="top" shrinkToFit="1"/>
    </xf>
    <xf numFmtId="171" fontId="13" fillId="5" borderId="0" applyBorder="0">
      <alignment horizontal="right" vertical="top" shrinkToFit="1"/>
    </xf>
    <xf numFmtId="171" fontId="13" fillId="5" borderId="3">
      <alignment horizontal="right" vertical="top" shrinkToFit="1"/>
    </xf>
    <xf numFmtId="171" fontId="13" fillId="5" borderId="1">
      <alignment horizontal="right" vertical="top" shrinkToFit="1"/>
    </xf>
    <xf numFmtId="169" fontId="13" fillId="5" borderId="3">
      <alignment horizontal="right" vertical="top" shrinkToFit="1"/>
    </xf>
    <xf numFmtId="169" fontId="13" fillId="5" borderId="1">
      <alignment horizontal="right" vertical="top" shrinkToFit="1"/>
    </xf>
    <xf numFmtId="3" fontId="13" fillId="5" borderId="0" applyBorder="0">
      <alignment horizontal="right" vertical="top" shrinkToFit="1"/>
    </xf>
    <xf numFmtId="3" fontId="13" fillId="5" borderId="12">
      <alignment horizontal="right" vertical="top" shrinkToFit="1"/>
    </xf>
    <xf numFmtId="165" fontId="13" fillId="5" borderId="0" applyBorder="0">
      <alignment horizontal="right" vertical="top" shrinkToFit="1"/>
    </xf>
    <xf numFmtId="164" fontId="13" fillId="5" borderId="10">
      <alignment horizontal="right" vertical="top" shrinkToFit="1"/>
    </xf>
    <xf numFmtId="169" fontId="13" fillId="5" borderId="12">
      <alignment horizontal="right" vertical="top" shrinkToFit="1"/>
    </xf>
    <xf numFmtId="169" fontId="15" fillId="5" borderId="10">
      <alignment horizontal="right" vertical="top" shrinkToFit="1"/>
    </xf>
    <xf numFmtId="170" fontId="13" fillId="5" borderId="5">
      <alignment horizontal="right" vertical="top" shrinkToFit="1"/>
    </xf>
    <xf numFmtId="170" fontId="13" fillId="5" borderId="1">
      <alignment horizontal="right" vertical="top" shrinkToFit="1"/>
    </xf>
    <xf numFmtId="0" fontId="13" fillId="5" borderId="13">
      <alignment horizontal="left" vertical="top" shrinkToFit="1"/>
    </xf>
    <xf numFmtId="0" fontId="13" fillId="5" borderId="14">
      <alignment horizontal="left" vertical="top" shrinkToFit="1"/>
    </xf>
    <xf numFmtId="0" fontId="12" fillId="5" borderId="14">
      <alignment vertical="top" shrinkToFit="1"/>
    </xf>
    <xf numFmtId="0" fontId="12" fillId="3" borderId="14">
      <alignment vertical="top" shrinkToFit="1"/>
      <protection locked="0"/>
    </xf>
    <xf numFmtId="0" fontId="13" fillId="3" borderId="14">
      <alignment vertical="top" shrinkToFit="1"/>
      <protection locked="0"/>
    </xf>
    <xf numFmtId="0" fontId="15" fillId="3" borderId="14">
      <alignment vertical="top" shrinkToFit="1"/>
      <protection locked="0"/>
    </xf>
    <xf numFmtId="0" fontId="16" fillId="3" borderId="14">
      <alignment vertical="top" shrinkToFit="1"/>
      <protection locked="0"/>
    </xf>
    <xf numFmtId="0" fontId="8" fillId="5" borderId="8">
      <alignment horizontal="left" vertical="top" shrinkToFit="1"/>
    </xf>
    <xf numFmtId="164" fontId="8" fillId="5" borderId="12">
      <alignment horizontal="right" vertical="top" shrinkToFit="1"/>
    </xf>
    <xf numFmtId="164" fontId="8" fillId="5" borderId="4">
      <alignment horizontal="right" vertical="top" shrinkToFit="1"/>
    </xf>
    <xf numFmtId="0" fontId="8" fillId="5" borderId="2">
      <alignment vertical="top" shrinkToFit="1"/>
    </xf>
    <xf numFmtId="165" fontId="8" fillId="5" borderId="12">
      <alignment horizontal="right" vertical="top" shrinkToFit="1"/>
    </xf>
    <xf numFmtId="165" fontId="9" fillId="5" borderId="10">
      <alignment horizontal="right" vertical="top" shrinkToFit="1"/>
    </xf>
    <xf numFmtId="171" fontId="8" fillId="5" borderId="6">
      <alignment horizontal="right" vertical="top" shrinkToFit="1"/>
    </xf>
    <xf numFmtId="171" fontId="8" fillId="5" borderId="5">
      <alignment horizontal="right" vertical="top" shrinkToFit="1"/>
    </xf>
    <xf numFmtId="171" fontId="9" fillId="5" borderId="0" applyBorder="0">
      <alignment horizontal="right" vertical="top" shrinkToFit="1"/>
    </xf>
    <xf numFmtId="171" fontId="9" fillId="5" borderId="11">
      <alignment horizontal="right" vertical="top" shrinkToFit="1"/>
    </xf>
    <xf numFmtId="171" fontId="8" fillId="5" borderId="0" applyBorder="0">
      <alignment horizontal="right" vertical="top" shrinkToFit="1"/>
    </xf>
    <xf numFmtId="171" fontId="8" fillId="5" borderId="11">
      <alignment horizontal="right" vertical="top" shrinkToFit="1"/>
    </xf>
    <xf numFmtId="171" fontId="8" fillId="5" borderId="3">
      <alignment horizontal="right" vertical="top" shrinkToFit="1"/>
    </xf>
    <xf numFmtId="171" fontId="8" fillId="5" borderId="1">
      <alignment horizontal="right" vertical="top" shrinkToFit="1"/>
    </xf>
    <xf numFmtId="169" fontId="8" fillId="5" borderId="3">
      <alignment horizontal="right" vertical="top" shrinkToFit="1"/>
    </xf>
    <xf numFmtId="169" fontId="8" fillId="5" borderId="1">
      <alignment horizontal="right" vertical="top" shrinkToFit="1"/>
    </xf>
    <xf numFmtId="3" fontId="8" fillId="5" borderId="0" applyBorder="0">
      <alignment horizontal="right" vertical="top" shrinkToFit="1"/>
    </xf>
    <xf numFmtId="3" fontId="8" fillId="5" borderId="12">
      <alignment horizontal="right" vertical="top" shrinkToFit="1"/>
    </xf>
    <xf numFmtId="164" fontId="8" fillId="5" borderId="10">
      <alignment horizontal="right" vertical="top" shrinkToFit="1"/>
    </xf>
    <xf numFmtId="165" fontId="8" fillId="5" borderId="0" applyBorder="0">
      <alignment horizontal="right" vertical="top" shrinkToFit="1"/>
    </xf>
    <xf numFmtId="165" fontId="8" fillId="5" borderId="11">
      <alignment horizontal="right" vertical="top" shrinkToFit="1"/>
    </xf>
    <xf numFmtId="0" fontId="8" fillId="5" borderId="7">
      <alignment horizontal="left" vertical="top" shrinkToFit="1"/>
    </xf>
    <xf numFmtId="0" fontId="8" fillId="5" borderId="12">
      <alignment horizontal="left" vertical="top" shrinkToFit="1"/>
    </xf>
    <xf numFmtId="0" fontId="8" fillId="5" borderId="10">
      <alignment horizontal="left" vertical="top" shrinkToFit="1"/>
    </xf>
    <xf numFmtId="169" fontId="8" fillId="5" borderId="12">
      <alignment horizontal="right" vertical="top" shrinkToFit="1"/>
    </xf>
    <xf numFmtId="169" fontId="9" fillId="5" borderId="10">
      <alignment horizontal="right" vertical="top" shrinkToFit="1"/>
    </xf>
    <xf numFmtId="170" fontId="8" fillId="5" borderId="5">
      <alignment horizontal="right" vertical="top" shrinkToFit="1"/>
    </xf>
    <xf numFmtId="170" fontId="8" fillId="5" borderId="1">
      <alignment horizontal="right" vertical="top" shrinkToFit="1"/>
    </xf>
    <xf numFmtId="0" fontId="8" fillId="5" borderId="13">
      <alignment horizontal="left" vertical="top" shrinkToFit="1"/>
    </xf>
    <xf numFmtId="0" fontId="8" fillId="5" borderId="14">
      <alignment horizontal="left" vertical="top" shrinkToFit="1"/>
    </xf>
    <xf numFmtId="0" fontId="7" fillId="5" borderId="14">
      <alignment vertical="top" shrinkToFit="1"/>
    </xf>
    <xf numFmtId="0" fontId="7" fillId="3" borderId="14">
      <alignment vertical="top" shrinkToFit="1"/>
      <protection locked="0"/>
    </xf>
    <xf numFmtId="0" fontId="8" fillId="3" borderId="14">
      <alignment vertical="top" shrinkToFit="1"/>
      <protection locked="0"/>
    </xf>
    <xf numFmtId="0" fontId="9" fillId="3" borderId="14">
      <alignment vertical="top" shrinkToFit="1"/>
      <protection locked="0"/>
    </xf>
    <xf numFmtId="0" fontId="10" fillId="3" borderId="14">
      <alignment vertical="top" shrinkToFit="1"/>
      <protection locked="0"/>
    </xf>
    <xf numFmtId="0" fontId="27" fillId="34" borderId="0" applyNumberFormat="0" applyBorder="0" applyAlignment="0" applyProtection="0"/>
    <xf numFmtId="0" fontId="1" fillId="35" borderId="21" applyNumberFormat="0" applyFont="0" applyAlignment="0" applyProtection="0"/>
    <xf numFmtId="0" fontId="28" fillId="31" borderId="22" applyNumberFormat="0" applyAlignment="0" applyProtection="0"/>
    <xf numFmtId="0" fontId="29" fillId="0" borderId="0" applyNumberFormat="0" applyFill="0" applyBorder="0" applyAlignment="0" applyProtection="0"/>
    <xf numFmtId="0" fontId="4" fillId="0" borderId="23" applyNumberFormat="0" applyFill="0" applyAlignment="0" applyProtection="0"/>
    <xf numFmtId="0" fontId="3" fillId="0" borderId="0" applyNumberFormat="0" applyFill="0" applyBorder="0" applyAlignment="0" applyProtection="0"/>
    <xf numFmtId="0" fontId="36" fillId="0" borderId="0" applyNumberFormat="0" applyFill="0" applyBorder="0" applyAlignment="0" applyProtection="0">
      <alignment vertical="top"/>
      <protection locked="0"/>
    </xf>
    <xf numFmtId="0" fontId="1" fillId="0" borderId="25">
      <alignment vertical="center"/>
    </xf>
    <xf numFmtId="0" fontId="8" fillId="5" borderId="1" applyNumberFormat="0" applyFont="0" applyFill="0" applyBorder="0" applyAlignment="0" applyProtection="0">
      <alignment vertical="top" shrinkToFit="1"/>
    </xf>
  </cellStyleXfs>
  <cellXfs count="264">
    <xf numFmtId="0" fontId="0" fillId="0" borderId="0" xfId="0">
      <alignment vertical="center"/>
    </xf>
    <xf numFmtId="0" fontId="12" fillId="5" borderId="0" xfId="37">
      <alignment vertical="top" shrinkToFit="1"/>
    </xf>
    <xf numFmtId="0" fontId="14" fillId="5" borderId="0" xfId="40">
      <alignment vertical="top" shrinkToFit="1"/>
    </xf>
    <xf numFmtId="0" fontId="13" fillId="5" borderId="0" xfId="68">
      <alignment vertical="top" shrinkToFit="1"/>
    </xf>
    <xf numFmtId="0" fontId="13" fillId="5" borderId="1" xfId="38">
      <alignment vertical="top" shrinkToFit="1"/>
    </xf>
    <xf numFmtId="0" fontId="13" fillId="3" borderId="1" xfId="39">
      <alignment horizontal="left" vertical="top" shrinkToFit="1"/>
      <protection locked="0"/>
    </xf>
    <xf numFmtId="0" fontId="13" fillId="5" borderId="2" xfId="41">
      <alignment horizontal="center" vertical="top" shrinkToFit="1"/>
    </xf>
    <xf numFmtId="0" fontId="13" fillId="5" borderId="3" xfId="42">
      <alignment horizontal="center" vertical="top" shrinkToFit="1"/>
    </xf>
    <xf numFmtId="0" fontId="13" fillId="5" borderId="4" xfId="43">
      <alignment horizontal="center" vertical="top" shrinkToFit="1"/>
    </xf>
    <xf numFmtId="14" fontId="13" fillId="3" borderId="3" xfId="44">
      <alignment horizontal="right" vertical="top" shrinkToFit="1"/>
      <protection locked="0"/>
    </xf>
    <xf numFmtId="14" fontId="13" fillId="3" borderId="4" xfId="45">
      <alignment horizontal="right" vertical="top" shrinkToFit="1"/>
      <protection locked="0"/>
    </xf>
    <xf numFmtId="0" fontId="13" fillId="5" borderId="5" xfId="46">
      <alignment vertical="top" shrinkToFit="1"/>
    </xf>
    <xf numFmtId="166" fontId="13" fillId="3" borderId="6" xfId="47">
      <alignment horizontal="right" vertical="top" shrinkToFit="1"/>
      <protection locked="0"/>
    </xf>
    <xf numFmtId="168" fontId="13" fillId="3" borderId="6" xfId="48">
      <alignment horizontal="right" vertical="top" shrinkToFit="1"/>
      <protection locked="0"/>
    </xf>
    <xf numFmtId="167" fontId="13" fillId="3" borderId="7" xfId="49">
      <alignment horizontal="right" vertical="top" shrinkToFit="1"/>
      <protection locked="0"/>
    </xf>
    <xf numFmtId="0" fontId="13" fillId="5" borderId="8" xfId="50">
      <alignment vertical="top" shrinkToFit="1"/>
    </xf>
    <xf numFmtId="166" fontId="13" fillId="3" borderId="9" xfId="51">
      <alignment horizontal="right" vertical="top" shrinkToFit="1"/>
      <protection locked="0"/>
    </xf>
    <xf numFmtId="168" fontId="13" fillId="3" borderId="9" xfId="52">
      <alignment horizontal="right" vertical="top" shrinkToFit="1"/>
      <protection locked="0"/>
    </xf>
    <xf numFmtId="167" fontId="13" fillId="3" borderId="10" xfId="53">
      <alignment horizontal="right" vertical="top" shrinkToFit="1"/>
      <protection locked="0"/>
    </xf>
    <xf numFmtId="14" fontId="13" fillId="3" borderId="6" xfId="54">
      <alignment horizontal="right" vertical="top" shrinkToFit="1"/>
      <protection locked="0"/>
    </xf>
    <xf numFmtId="164" fontId="13" fillId="3" borderId="6" xfId="55">
      <alignment horizontal="right" vertical="top" shrinkToFit="1"/>
      <protection locked="0"/>
    </xf>
    <xf numFmtId="4" fontId="13" fillId="3" borderId="7" xfId="56">
      <alignment horizontal="right" vertical="top" shrinkToFit="1"/>
      <protection locked="0"/>
    </xf>
    <xf numFmtId="14" fontId="13" fillId="3" borderId="9" xfId="57">
      <alignment horizontal="right" vertical="top" shrinkToFit="1"/>
      <protection locked="0"/>
    </xf>
    <xf numFmtId="164" fontId="13" fillId="3" borderId="9" xfId="58">
      <alignment horizontal="right" vertical="top" shrinkToFit="1"/>
      <protection locked="0"/>
    </xf>
    <xf numFmtId="4" fontId="13" fillId="3" borderId="10" xfId="59">
      <alignment horizontal="right" vertical="top" shrinkToFit="1"/>
      <protection locked="0"/>
    </xf>
    <xf numFmtId="0" fontId="13" fillId="5" borderId="1" xfId="60">
      <alignment horizontal="center" vertical="top" shrinkToFit="1"/>
    </xf>
    <xf numFmtId="164" fontId="13" fillId="5" borderId="6" xfId="61">
      <alignment horizontal="right" vertical="top" shrinkToFit="1"/>
    </xf>
    <xf numFmtId="164" fontId="13" fillId="5" borderId="5" xfId="62">
      <alignment horizontal="right" vertical="top" shrinkToFit="1"/>
    </xf>
    <xf numFmtId="0" fontId="15" fillId="5" borderId="11" xfId="63">
      <alignment vertical="top" shrinkToFit="1"/>
    </xf>
    <xf numFmtId="164" fontId="12" fillId="3" borderId="0" xfId="64">
      <alignment horizontal="right" vertical="top" shrinkToFit="1"/>
      <protection locked="0"/>
    </xf>
    <xf numFmtId="164" fontId="13" fillId="5" borderId="11" xfId="65">
      <alignment horizontal="right" vertical="top" shrinkToFit="1"/>
    </xf>
    <xf numFmtId="164" fontId="13" fillId="5" borderId="9" xfId="66">
      <alignment horizontal="right" vertical="top" shrinkToFit="1"/>
    </xf>
    <xf numFmtId="164" fontId="13" fillId="5" borderId="8" xfId="67">
      <alignment horizontal="right" vertical="top" shrinkToFit="1"/>
    </xf>
    <xf numFmtId="167" fontId="13" fillId="5" borderId="6" xfId="69">
      <alignment horizontal="right" vertical="top" shrinkToFit="1"/>
    </xf>
    <xf numFmtId="167" fontId="13" fillId="5" borderId="7" xfId="70">
      <alignment horizontal="right" vertical="top" shrinkToFit="1"/>
    </xf>
    <xf numFmtId="0" fontId="15" fillId="5" borderId="8" xfId="71">
      <alignment vertical="top" shrinkToFit="1"/>
    </xf>
    <xf numFmtId="167" fontId="12" fillId="3" borderId="9" xfId="72">
      <alignment horizontal="right" vertical="top" shrinkToFit="1"/>
      <protection locked="0"/>
    </xf>
    <xf numFmtId="167" fontId="12" fillId="3" borderId="10" xfId="73">
      <alignment horizontal="right" vertical="top" shrinkToFit="1"/>
      <protection locked="0"/>
    </xf>
    <xf numFmtId="168" fontId="13" fillId="3" borderId="3" xfId="74">
      <alignment horizontal="right" vertical="top" shrinkToFit="1"/>
      <protection locked="0"/>
    </xf>
    <xf numFmtId="167" fontId="13" fillId="3" borderId="4" xfId="75">
      <alignment horizontal="right" vertical="top" shrinkToFit="1"/>
      <protection locked="0"/>
    </xf>
    <xf numFmtId="164" fontId="13" fillId="3" borderId="3" xfId="76">
      <alignment horizontal="right" vertical="top" shrinkToFit="1"/>
      <protection locked="0"/>
    </xf>
    <xf numFmtId="166" fontId="13" fillId="3" borderId="3" xfId="77">
      <alignment horizontal="right" vertical="top" shrinkToFit="1"/>
      <protection locked="0"/>
    </xf>
    <xf numFmtId="4" fontId="13" fillId="3" borderId="4" xfId="78">
      <alignment horizontal="right" vertical="top" shrinkToFit="1"/>
      <protection locked="0"/>
    </xf>
    <xf numFmtId="165" fontId="13" fillId="3" borderId="1" xfId="79">
      <alignment horizontal="right" vertical="top" shrinkToFit="1"/>
      <protection locked="0"/>
    </xf>
    <xf numFmtId="168" fontId="13" fillId="3" borderId="4" xfId="80">
      <alignment horizontal="right" vertical="top" shrinkToFit="1"/>
      <protection locked="0"/>
    </xf>
    <xf numFmtId="165" fontId="13" fillId="3" borderId="3" xfId="81">
      <alignment horizontal="right" vertical="top" shrinkToFit="1"/>
      <protection locked="0"/>
    </xf>
    <xf numFmtId="165" fontId="13" fillId="5" borderId="1" xfId="82">
      <alignment horizontal="right" vertical="top" shrinkToFit="1"/>
    </xf>
    <xf numFmtId="164" fontId="13" fillId="5" borderId="1" xfId="83">
      <alignment horizontal="right" vertical="top" shrinkToFit="1"/>
    </xf>
    <xf numFmtId="166" fontId="13" fillId="5" borderId="5" xfId="84">
      <alignment horizontal="right" vertical="top" shrinkToFit="1"/>
    </xf>
    <xf numFmtId="166" fontId="13" fillId="3" borderId="11" xfId="85">
      <alignment horizontal="right" vertical="top" shrinkToFit="1"/>
      <protection locked="0"/>
    </xf>
    <xf numFmtId="166" fontId="13" fillId="3" borderId="8" xfId="86">
      <alignment horizontal="right" vertical="top" shrinkToFit="1"/>
      <protection locked="0"/>
    </xf>
    <xf numFmtId="165" fontId="13" fillId="5" borderId="6" xfId="87">
      <alignment horizontal="right" vertical="top" shrinkToFit="1"/>
    </xf>
    <xf numFmtId="165" fontId="13" fillId="5" borderId="7" xfId="88">
      <alignment horizontal="right" vertical="top" shrinkToFit="1"/>
    </xf>
    <xf numFmtId="165" fontId="12" fillId="3" borderId="0" xfId="89">
      <alignment horizontal="right" vertical="top" shrinkToFit="1"/>
      <protection locked="0"/>
    </xf>
    <xf numFmtId="165" fontId="12" fillId="3" borderId="12" xfId="90">
      <alignment horizontal="right" vertical="top" shrinkToFit="1"/>
      <protection locked="0"/>
    </xf>
    <xf numFmtId="165" fontId="12" fillId="3" borderId="9" xfId="91">
      <alignment horizontal="right" vertical="top" shrinkToFit="1"/>
      <protection locked="0"/>
    </xf>
    <xf numFmtId="165" fontId="12" fillId="3" borderId="10" xfId="92">
      <alignment horizontal="right" vertical="top" shrinkToFit="1"/>
      <protection locked="0"/>
    </xf>
    <xf numFmtId="166" fontId="13" fillId="3" borderId="7" xfId="93">
      <alignment horizontal="right" vertical="top" shrinkToFit="1"/>
      <protection locked="0"/>
    </xf>
    <xf numFmtId="165" fontId="13" fillId="5" borderId="9" xfId="94">
      <alignment horizontal="right" vertical="top" shrinkToFit="1"/>
    </xf>
    <xf numFmtId="166" fontId="13" fillId="3" borderId="10" xfId="95">
      <alignment horizontal="right" vertical="top" shrinkToFit="1"/>
      <protection locked="0"/>
    </xf>
    <xf numFmtId="169" fontId="13" fillId="5" borderId="6" xfId="96">
      <alignment horizontal="right" vertical="top" shrinkToFit="1"/>
    </xf>
    <xf numFmtId="169" fontId="13" fillId="5" borderId="5" xfId="97">
      <alignment horizontal="right" vertical="top" shrinkToFit="1"/>
    </xf>
    <xf numFmtId="169" fontId="12" fillId="3" borderId="0" xfId="98">
      <alignment horizontal="right" vertical="top" shrinkToFit="1"/>
      <protection locked="0"/>
    </xf>
    <xf numFmtId="169" fontId="13" fillId="5" borderId="11" xfId="99">
      <alignment horizontal="right" vertical="top" shrinkToFit="1"/>
    </xf>
    <xf numFmtId="169" fontId="13" fillId="5" borderId="9" xfId="100">
      <alignment horizontal="right" vertical="top" shrinkToFit="1"/>
    </xf>
    <xf numFmtId="169" fontId="13" fillId="5" borderId="8" xfId="101">
      <alignment horizontal="right" vertical="top" shrinkToFit="1"/>
    </xf>
    <xf numFmtId="164" fontId="13" fillId="3" borderId="11" xfId="102">
      <alignment horizontal="right" vertical="top" shrinkToFit="1"/>
      <protection locked="0"/>
    </xf>
    <xf numFmtId="164" fontId="13" fillId="3" borderId="8" xfId="103">
      <alignment horizontal="right" vertical="top" shrinkToFit="1"/>
      <protection locked="0"/>
    </xf>
    <xf numFmtId="170" fontId="13" fillId="5" borderId="6" xfId="104">
      <alignment horizontal="right" vertical="top" shrinkToFit="1"/>
    </xf>
    <xf numFmtId="4" fontId="13" fillId="5" borderId="7" xfId="105">
      <alignment horizontal="right" vertical="top" shrinkToFit="1"/>
    </xf>
    <xf numFmtId="164" fontId="15" fillId="5" borderId="0" xfId="106">
      <alignment horizontal="right" vertical="top" shrinkToFit="1"/>
    </xf>
    <xf numFmtId="170" fontId="15" fillId="5" borderId="0" xfId="107">
      <alignment horizontal="right" vertical="top" shrinkToFit="1"/>
    </xf>
    <xf numFmtId="4" fontId="15" fillId="5" borderId="12" xfId="108">
      <alignment horizontal="right" vertical="top" shrinkToFit="1"/>
    </xf>
    <xf numFmtId="0" fontId="13" fillId="5" borderId="11" xfId="109">
      <alignment vertical="top" shrinkToFit="1"/>
    </xf>
    <xf numFmtId="164" fontId="13" fillId="5" borderId="0" xfId="110">
      <alignment horizontal="right" vertical="top" shrinkToFit="1"/>
    </xf>
    <xf numFmtId="170" fontId="13" fillId="5" borderId="0" xfId="111">
      <alignment horizontal="right" vertical="top" shrinkToFit="1"/>
    </xf>
    <xf numFmtId="4" fontId="13" fillId="5" borderId="12" xfId="112">
      <alignment horizontal="right" vertical="top" shrinkToFit="1"/>
    </xf>
    <xf numFmtId="164" fontId="13" fillId="5" borderId="3" xfId="113">
      <alignment horizontal="right" vertical="top" shrinkToFit="1"/>
    </xf>
    <xf numFmtId="170" fontId="13" fillId="5" borderId="3" xfId="114">
      <alignment horizontal="right" vertical="top" shrinkToFit="1"/>
    </xf>
    <xf numFmtId="4" fontId="13" fillId="5" borderId="4" xfId="115">
      <alignment horizontal="right" vertical="top" shrinkToFit="1"/>
    </xf>
    <xf numFmtId="166" fontId="13" fillId="5" borderId="6" xfId="116">
      <alignment horizontal="right" vertical="top" shrinkToFit="1"/>
    </xf>
    <xf numFmtId="166" fontId="13" fillId="5" borderId="7" xfId="117">
      <alignment horizontal="right" vertical="top" shrinkToFit="1"/>
    </xf>
    <xf numFmtId="166" fontId="15" fillId="5" borderId="0" xfId="118">
      <alignment horizontal="right" vertical="top" shrinkToFit="1"/>
    </xf>
    <xf numFmtId="166" fontId="15" fillId="5" borderId="12" xfId="119">
      <alignment horizontal="right" vertical="top" shrinkToFit="1"/>
    </xf>
    <xf numFmtId="166" fontId="13" fillId="5" borderId="0" xfId="120">
      <alignment horizontal="right" vertical="top" shrinkToFit="1"/>
    </xf>
    <xf numFmtId="166" fontId="13" fillId="5" borderId="12" xfId="121">
      <alignment horizontal="right" vertical="top" shrinkToFit="1"/>
    </xf>
    <xf numFmtId="166" fontId="13" fillId="3" borderId="12" xfId="122">
      <alignment horizontal="right" vertical="top" shrinkToFit="1"/>
      <protection locked="0"/>
    </xf>
    <xf numFmtId="166" fontId="13" fillId="5" borderId="3" xfId="123">
      <alignment horizontal="right" vertical="top" shrinkToFit="1"/>
    </xf>
    <xf numFmtId="166" fontId="13" fillId="5" borderId="4" xfId="124">
      <alignment horizontal="right" vertical="top" shrinkToFit="1"/>
    </xf>
    <xf numFmtId="0" fontId="16" fillId="5" borderId="11" xfId="125">
      <alignment vertical="top" shrinkToFit="1"/>
    </xf>
    <xf numFmtId="164" fontId="16" fillId="5" borderId="0" xfId="126">
      <alignment horizontal="right" vertical="top" shrinkToFit="1"/>
    </xf>
    <xf numFmtId="164" fontId="12" fillId="5" borderId="0" xfId="127">
      <alignment horizontal="right" vertical="top" shrinkToFit="1"/>
    </xf>
    <xf numFmtId="0" fontId="13" fillId="5" borderId="3" xfId="128">
      <alignment vertical="top" shrinkToFit="1"/>
    </xf>
    <xf numFmtId="164" fontId="15" fillId="5" borderId="9" xfId="129">
      <alignment horizontal="right" vertical="top" shrinkToFit="1"/>
    </xf>
    <xf numFmtId="14" fontId="13" fillId="5" borderId="3" xfId="130">
      <alignment horizontal="center" vertical="top" shrinkToFit="1"/>
    </xf>
    <xf numFmtId="14" fontId="13" fillId="5" borderId="4" xfId="131">
      <alignment horizontal="center" vertical="top" shrinkToFit="1"/>
    </xf>
    <xf numFmtId="169" fontId="13" fillId="5" borderId="7" xfId="132">
      <alignment horizontal="right" vertical="top" shrinkToFit="1"/>
    </xf>
    <xf numFmtId="169" fontId="15" fillId="5" borderId="0" xfId="133">
      <alignment horizontal="right" vertical="top" shrinkToFit="1"/>
    </xf>
    <xf numFmtId="169" fontId="15" fillId="5" borderId="12" xfId="134">
      <alignment horizontal="right" vertical="top" shrinkToFit="1"/>
    </xf>
    <xf numFmtId="169" fontId="16" fillId="5" borderId="0" xfId="135">
      <alignment horizontal="right" vertical="top" shrinkToFit="1"/>
    </xf>
    <xf numFmtId="169" fontId="16" fillId="5" borderId="12" xfId="136">
      <alignment horizontal="right" vertical="top" shrinkToFit="1"/>
    </xf>
    <xf numFmtId="0" fontId="16" fillId="5" borderId="8" xfId="137">
      <alignment vertical="top" shrinkToFit="1"/>
    </xf>
    <xf numFmtId="169" fontId="16" fillId="5" borderId="9" xfId="138">
      <alignment horizontal="right" vertical="top" shrinkToFit="1"/>
    </xf>
    <xf numFmtId="169" fontId="16" fillId="5" borderId="10" xfId="139">
      <alignment horizontal="right" vertical="top" shrinkToFit="1"/>
    </xf>
    <xf numFmtId="169" fontId="12" fillId="5" borderId="0" xfId="140">
      <alignment horizontal="right" vertical="top" shrinkToFit="1"/>
    </xf>
    <xf numFmtId="169" fontId="15" fillId="5" borderId="9" xfId="141">
      <alignment horizontal="right" vertical="top" shrinkToFit="1"/>
    </xf>
    <xf numFmtId="170" fontId="13" fillId="5" borderId="7" xfId="142">
      <alignment horizontal="right" vertical="top" shrinkToFit="1"/>
    </xf>
    <xf numFmtId="170" fontId="15" fillId="5" borderId="12" xfId="143">
      <alignment horizontal="right" vertical="top" shrinkToFit="1"/>
    </xf>
    <xf numFmtId="170" fontId="16" fillId="3" borderId="0" xfId="144">
      <alignment horizontal="right" vertical="top" shrinkToFit="1"/>
      <protection locked="0"/>
    </xf>
    <xf numFmtId="170" fontId="16" fillId="3" borderId="12" xfId="145">
      <alignment horizontal="right" vertical="top" shrinkToFit="1"/>
      <protection locked="0"/>
    </xf>
    <xf numFmtId="170" fontId="15" fillId="3" borderId="0" xfId="146">
      <alignment horizontal="right" vertical="top" shrinkToFit="1"/>
      <protection locked="0"/>
    </xf>
    <xf numFmtId="170" fontId="15" fillId="3" borderId="12" xfId="147">
      <alignment horizontal="right" vertical="top" shrinkToFit="1"/>
      <protection locked="0"/>
    </xf>
    <xf numFmtId="170" fontId="16" fillId="3" borderId="9" xfId="148">
      <alignment horizontal="right" vertical="top" shrinkToFit="1"/>
      <protection locked="0"/>
    </xf>
    <xf numFmtId="170" fontId="16" fillId="3" borderId="10" xfId="149">
      <alignment horizontal="right" vertical="top" shrinkToFit="1"/>
      <protection locked="0"/>
    </xf>
    <xf numFmtId="3" fontId="13" fillId="5" borderId="6" xfId="150">
      <alignment horizontal="right" vertical="top" shrinkToFit="1"/>
    </xf>
    <xf numFmtId="3" fontId="13" fillId="5" borderId="7" xfId="151">
      <alignment horizontal="right" vertical="top" shrinkToFit="1"/>
    </xf>
    <xf numFmtId="3" fontId="15" fillId="5" borderId="0" xfId="152">
      <alignment horizontal="right" vertical="top" shrinkToFit="1"/>
    </xf>
    <xf numFmtId="3" fontId="15" fillId="5" borderId="12" xfId="153">
      <alignment horizontal="right" vertical="top" shrinkToFit="1"/>
    </xf>
    <xf numFmtId="3" fontId="16" fillId="5" borderId="0" xfId="154">
      <alignment horizontal="right" vertical="top" shrinkToFit="1"/>
    </xf>
    <xf numFmtId="3" fontId="16" fillId="5" borderId="12" xfId="155">
      <alignment horizontal="right" vertical="top" shrinkToFit="1"/>
    </xf>
    <xf numFmtId="3" fontId="16" fillId="5" borderId="9" xfId="156">
      <alignment horizontal="right" vertical="top" shrinkToFit="1"/>
    </xf>
    <xf numFmtId="3" fontId="16" fillId="5" borderId="10" xfId="157">
      <alignment horizontal="right" vertical="top" shrinkToFit="1"/>
    </xf>
    <xf numFmtId="3" fontId="12" fillId="5" borderId="0" xfId="158">
      <alignment horizontal="right" vertical="top" shrinkToFit="1"/>
    </xf>
    <xf numFmtId="3" fontId="12" fillId="5" borderId="12" xfId="159">
      <alignment horizontal="right" vertical="top" shrinkToFit="1"/>
    </xf>
    <xf numFmtId="3" fontId="12" fillId="5" borderId="9" xfId="160">
      <alignment horizontal="right" vertical="top" shrinkToFit="1"/>
    </xf>
    <xf numFmtId="3" fontId="12" fillId="5" borderId="10" xfId="161">
      <alignment horizontal="right" vertical="top" shrinkToFit="1"/>
    </xf>
    <xf numFmtId="165" fontId="15" fillId="5" borderId="0" xfId="162">
      <alignment horizontal="right" vertical="top" shrinkToFit="1"/>
    </xf>
    <xf numFmtId="165" fontId="15" fillId="5" borderId="12" xfId="163">
      <alignment horizontal="right" vertical="top" shrinkToFit="1"/>
    </xf>
    <xf numFmtId="165" fontId="15" fillId="3" borderId="0" xfId="164">
      <alignment horizontal="right" vertical="top" shrinkToFit="1"/>
      <protection locked="0"/>
    </xf>
    <xf numFmtId="165" fontId="15" fillId="3" borderId="12" xfId="165">
      <alignment horizontal="right" vertical="top" shrinkToFit="1"/>
      <protection locked="0"/>
    </xf>
    <xf numFmtId="165" fontId="12" fillId="5" borderId="0" xfId="166">
      <alignment horizontal="right" vertical="top" shrinkToFit="1"/>
    </xf>
    <xf numFmtId="165" fontId="12" fillId="5" borderId="12" xfId="167">
      <alignment horizontal="right" vertical="top" shrinkToFit="1"/>
    </xf>
    <xf numFmtId="165" fontId="12" fillId="5" borderId="9" xfId="168">
      <alignment horizontal="right" vertical="top" shrinkToFit="1"/>
    </xf>
    <xf numFmtId="165" fontId="12" fillId="5" borderId="10" xfId="169">
      <alignment horizontal="right" vertical="top" shrinkToFit="1"/>
    </xf>
    <xf numFmtId="165" fontId="13" fillId="5" borderId="5" xfId="170">
      <alignment horizontal="right" vertical="top" shrinkToFit="1"/>
    </xf>
    <xf numFmtId="165" fontId="13" fillId="5" borderId="11" xfId="171">
      <alignment horizontal="right" vertical="top" shrinkToFit="1"/>
    </xf>
    <xf numFmtId="165" fontId="13" fillId="5" borderId="8" xfId="172">
      <alignment horizontal="right" vertical="top" shrinkToFit="1"/>
    </xf>
    <xf numFmtId="165" fontId="13" fillId="5" borderId="3" xfId="173">
      <alignment horizontal="right" vertical="top" shrinkToFit="1"/>
    </xf>
    <xf numFmtId="169" fontId="13" fillId="5" borderId="0" xfId="174">
      <alignment horizontal="right" vertical="top" shrinkToFit="1"/>
    </xf>
    <xf numFmtId="14" fontId="12" fillId="5" borderId="3" xfId="175">
      <alignment horizontal="center" vertical="top" shrinkToFit="1"/>
    </xf>
    <xf numFmtId="14" fontId="12" fillId="5" borderId="4" xfId="176">
      <alignment horizontal="center" vertical="top" shrinkToFit="1"/>
    </xf>
    <xf numFmtId="164" fontId="12" fillId="5" borderId="3" xfId="177">
      <alignment horizontal="right" vertical="top" shrinkToFit="1"/>
    </xf>
    <xf numFmtId="164" fontId="12" fillId="5" borderId="4" xfId="178">
      <alignment horizontal="right" vertical="top" shrinkToFit="1"/>
    </xf>
    <xf numFmtId="170" fontId="13" fillId="5" borderId="12" xfId="179">
      <alignment horizontal="right" vertical="top" shrinkToFit="1"/>
    </xf>
    <xf numFmtId="170" fontId="13" fillId="5" borderId="4" xfId="180">
      <alignment horizontal="right" vertical="top" shrinkToFit="1"/>
    </xf>
    <xf numFmtId="170" fontId="13" fillId="5" borderId="11" xfId="181">
      <alignment horizontal="right" vertical="top" shrinkToFit="1"/>
    </xf>
    <xf numFmtId="170" fontId="12" fillId="5" borderId="0" xfId="182">
      <alignment horizontal="right" vertical="top" shrinkToFit="1"/>
    </xf>
    <xf numFmtId="170" fontId="13" fillId="5" borderId="9" xfId="183">
      <alignment horizontal="right" vertical="top" shrinkToFit="1"/>
    </xf>
    <xf numFmtId="170" fontId="13" fillId="5" borderId="8" xfId="184">
      <alignment horizontal="right" vertical="top" shrinkToFit="1"/>
    </xf>
    <xf numFmtId="0" fontId="13" fillId="5" borderId="3" xfId="185">
      <alignment horizontal="left" vertical="top" shrinkToFit="1"/>
    </xf>
    <xf numFmtId="0" fontId="13" fillId="2" borderId="0" xfId="186">
      <alignment vertical="top" shrinkToFit="1"/>
    </xf>
    <xf numFmtId="0" fontId="16" fillId="2" borderId="0" xfId="187">
      <alignment vertical="top" shrinkToFit="1"/>
    </xf>
    <xf numFmtId="0" fontId="13" fillId="2" borderId="0" xfId="188">
      <alignment horizontal="right" vertical="top" shrinkToFit="1"/>
    </xf>
    <xf numFmtId="0" fontId="12" fillId="2" borderId="0" xfId="189">
      <alignment vertical="top" shrinkToFit="1"/>
    </xf>
    <xf numFmtId="0" fontId="16" fillId="5" borderId="3" xfId="190">
      <alignment vertical="top" shrinkToFit="1"/>
    </xf>
    <xf numFmtId="0" fontId="13" fillId="5" borderId="3" xfId="191">
      <alignment horizontal="right" vertical="top" shrinkToFit="1"/>
    </xf>
    <xf numFmtId="14" fontId="13" fillId="5" borderId="5" xfId="193">
      <alignment horizontal="right" vertical="top" shrinkToFit="1"/>
    </xf>
    <xf numFmtId="166" fontId="13" fillId="5" borderId="11" xfId="192">
      <alignment horizontal="right" vertical="top" shrinkToFit="1"/>
    </xf>
    <xf numFmtId="14" fontId="13" fillId="5" borderId="11" xfId="194">
      <alignment horizontal="right" vertical="top" shrinkToFit="1"/>
    </xf>
    <xf numFmtId="14" fontId="13" fillId="3" borderId="11" xfId="195">
      <alignment horizontal="right" vertical="top" shrinkToFit="1"/>
      <protection locked="0"/>
    </xf>
    <xf numFmtId="14" fontId="13" fillId="5" borderId="8" xfId="196">
      <alignment horizontal="right" vertical="top" shrinkToFit="1"/>
    </xf>
    <xf numFmtId="166" fontId="13" fillId="5" borderId="8" xfId="197">
      <alignment horizontal="right" vertical="top" shrinkToFit="1"/>
    </xf>
    <xf numFmtId="167" fontId="13" fillId="5" borderId="5" xfId="198">
      <alignment horizontal="right" vertical="top" shrinkToFit="1"/>
    </xf>
    <xf numFmtId="168" fontId="13" fillId="5" borderId="5" xfId="202">
      <alignment horizontal="right" vertical="top" shrinkToFit="1"/>
    </xf>
    <xf numFmtId="4" fontId="13" fillId="5" borderId="5" xfId="206">
      <alignment horizontal="right" vertical="top" shrinkToFit="1"/>
    </xf>
    <xf numFmtId="167" fontId="13" fillId="5" borderId="11" xfId="199">
      <alignment horizontal="right" vertical="top" shrinkToFit="1"/>
    </xf>
    <xf numFmtId="168" fontId="13" fillId="5" borderId="11" xfId="203">
      <alignment horizontal="right" vertical="top" shrinkToFit="1"/>
    </xf>
    <xf numFmtId="4" fontId="13" fillId="5" borderId="11" xfId="207">
      <alignment horizontal="right" vertical="top" shrinkToFit="1"/>
    </xf>
    <xf numFmtId="167" fontId="13" fillId="3" borderId="11" xfId="200">
      <alignment horizontal="right" vertical="top" shrinkToFit="1"/>
      <protection locked="0"/>
    </xf>
    <xf numFmtId="168" fontId="13" fillId="3" borderId="11" xfId="204">
      <alignment horizontal="right" vertical="top" shrinkToFit="1"/>
      <protection locked="0"/>
    </xf>
    <xf numFmtId="4" fontId="13" fillId="3" borderId="11" xfId="208">
      <alignment horizontal="right" vertical="top" shrinkToFit="1"/>
      <protection locked="0"/>
    </xf>
    <xf numFmtId="167" fontId="13" fillId="3" borderId="8" xfId="201">
      <alignment horizontal="right" vertical="top" shrinkToFit="1"/>
      <protection locked="0"/>
    </xf>
    <xf numFmtId="168" fontId="13" fillId="3" borderId="8" xfId="205">
      <alignment horizontal="right" vertical="top" shrinkToFit="1"/>
      <protection locked="0"/>
    </xf>
    <xf numFmtId="4" fontId="13" fillId="3" borderId="8" xfId="209">
      <alignment horizontal="right" vertical="top" shrinkToFit="1"/>
      <protection locked="0"/>
    </xf>
    <xf numFmtId="167" fontId="15" fillId="5" borderId="0" xfId="210">
      <alignment horizontal="right" vertical="top" shrinkToFit="1"/>
    </xf>
    <xf numFmtId="167" fontId="15" fillId="5" borderId="12" xfId="211">
      <alignment horizontal="right" vertical="top" shrinkToFit="1"/>
    </xf>
    <xf numFmtId="167" fontId="12" fillId="3" borderId="0" xfId="212">
      <alignment horizontal="right" vertical="top" shrinkToFit="1"/>
      <protection locked="0"/>
    </xf>
    <xf numFmtId="167" fontId="12" fillId="3" borderId="12" xfId="213">
      <alignment horizontal="right" vertical="top" shrinkToFit="1"/>
      <protection locked="0"/>
    </xf>
    <xf numFmtId="167" fontId="12" fillId="5" borderId="0" xfId="214">
      <alignment horizontal="right" vertical="top" shrinkToFit="1"/>
    </xf>
    <xf numFmtId="167" fontId="12" fillId="5" borderId="12" xfId="215">
      <alignment horizontal="right" vertical="top" shrinkToFit="1"/>
    </xf>
    <xf numFmtId="167" fontId="15" fillId="3" borderId="0" xfId="216">
      <alignment horizontal="right" vertical="top" shrinkToFit="1"/>
      <protection locked="0"/>
    </xf>
    <xf numFmtId="167" fontId="15" fillId="3" borderId="12" xfId="217">
      <alignment horizontal="right" vertical="top" shrinkToFit="1"/>
      <protection locked="0"/>
    </xf>
    <xf numFmtId="164" fontId="15" fillId="3" borderId="0" xfId="218">
      <alignment horizontal="right" vertical="top" shrinkToFit="1"/>
      <protection locked="0"/>
    </xf>
    <xf numFmtId="169" fontId="15" fillId="3" borderId="0" xfId="219">
      <alignment horizontal="right" vertical="top" shrinkToFit="1"/>
      <protection locked="0"/>
    </xf>
    <xf numFmtId="167" fontId="13" fillId="5" borderId="8" xfId="220">
      <alignment horizontal="right" vertical="top" shrinkToFit="1"/>
    </xf>
    <xf numFmtId="0" fontId="13" fillId="5" borderId="5" xfId="221">
      <alignment horizontal="left" vertical="top" shrinkToFit="1"/>
    </xf>
    <xf numFmtId="0" fontId="13" fillId="5" borderId="11" xfId="222">
      <alignment horizontal="left" vertical="top" shrinkToFit="1"/>
    </xf>
    <xf numFmtId="0" fontId="13" fillId="5" borderId="8" xfId="223">
      <alignment horizontal="left" vertical="top" shrinkToFit="1"/>
    </xf>
    <xf numFmtId="164" fontId="13" fillId="5" borderId="7" xfId="224">
      <alignment horizontal="right" vertical="top" shrinkToFit="1"/>
    </xf>
    <xf numFmtId="164" fontId="13" fillId="5" borderId="12" xfId="225">
      <alignment horizontal="right" vertical="top" shrinkToFit="1"/>
    </xf>
    <xf numFmtId="164" fontId="13" fillId="5" borderId="4" xfId="226">
      <alignment horizontal="right" vertical="top" shrinkToFit="1"/>
    </xf>
    <xf numFmtId="165" fontId="13" fillId="5" borderId="12" xfId="227">
      <alignment horizontal="right" vertical="top" shrinkToFit="1"/>
    </xf>
    <xf numFmtId="165" fontId="15" fillId="5" borderId="10" xfId="228">
      <alignment horizontal="right" vertical="top" shrinkToFit="1"/>
    </xf>
    <xf numFmtId="171" fontId="13" fillId="5" borderId="6" xfId="229">
      <alignment horizontal="right" vertical="top" shrinkToFit="1"/>
    </xf>
    <xf numFmtId="171" fontId="13" fillId="5" borderId="5" xfId="230">
      <alignment horizontal="right" vertical="top" shrinkToFit="1"/>
    </xf>
    <xf numFmtId="171" fontId="15" fillId="5" borderId="0" xfId="231">
      <alignment horizontal="right" vertical="top" shrinkToFit="1"/>
    </xf>
    <xf numFmtId="171" fontId="13" fillId="5" borderId="11" xfId="232">
      <alignment horizontal="right" vertical="top" shrinkToFit="1"/>
    </xf>
    <xf numFmtId="171" fontId="13" fillId="5" borderId="0" xfId="233">
      <alignment horizontal="right" vertical="top" shrinkToFit="1"/>
    </xf>
    <xf numFmtId="171" fontId="13" fillId="5" borderId="3" xfId="234">
      <alignment horizontal="right" vertical="top" shrinkToFit="1"/>
    </xf>
    <xf numFmtId="171" fontId="13" fillId="5" borderId="1" xfId="235">
      <alignment horizontal="right" vertical="top" shrinkToFit="1"/>
    </xf>
    <xf numFmtId="169" fontId="13" fillId="5" borderId="3" xfId="236">
      <alignment horizontal="right" vertical="top" shrinkToFit="1"/>
    </xf>
    <xf numFmtId="169" fontId="13" fillId="5" borderId="1" xfId="237">
      <alignment horizontal="right" vertical="top" shrinkToFit="1"/>
    </xf>
    <xf numFmtId="3" fontId="13" fillId="5" borderId="0" xfId="238">
      <alignment horizontal="right" vertical="top" shrinkToFit="1"/>
    </xf>
    <xf numFmtId="3" fontId="13" fillId="5" borderId="12" xfId="239">
      <alignment horizontal="right" vertical="top" shrinkToFit="1"/>
    </xf>
    <xf numFmtId="165" fontId="13" fillId="5" borderId="0" xfId="240">
      <alignment horizontal="right" vertical="top" shrinkToFit="1"/>
    </xf>
    <xf numFmtId="164" fontId="13" fillId="5" borderId="10" xfId="241">
      <alignment horizontal="right" vertical="top" shrinkToFit="1"/>
    </xf>
    <xf numFmtId="169" fontId="13" fillId="5" borderId="12" xfId="242">
      <alignment horizontal="right" vertical="top" shrinkToFit="1"/>
    </xf>
    <xf numFmtId="169" fontId="15" fillId="5" borderId="10" xfId="243">
      <alignment horizontal="right" vertical="top" shrinkToFit="1"/>
    </xf>
    <xf numFmtId="170" fontId="13" fillId="5" borderId="5" xfId="244">
      <alignment horizontal="right" vertical="top" shrinkToFit="1"/>
    </xf>
    <xf numFmtId="170" fontId="13" fillId="5" borderId="1" xfId="245">
      <alignment horizontal="right" vertical="top" shrinkToFit="1"/>
    </xf>
    <xf numFmtId="0" fontId="13" fillId="5" borderId="13" xfId="246">
      <alignment horizontal="left" vertical="top" shrinkToFit="1"/>
    </xf>
    <xf numFmtId="0" fontId="13" fillId="5" borderId="14" xfId="247">
      <alignment horizontal="left" vertical="top" shrinkToFit="1"/>
    </xf>
    <xf numFmtId="0" fontId="12" fillId="3" borderId="14" xfId="249">
      <alignment vertical="top" shrinkToFit="1"/>
      <protection locked="0"/>
    </xf>
    <xf numFmtId="0" fontId="12" fillId="5" borderId="14" xfId="248">
      <alignment vertical="top" shrinkToFit="1"/>
    </xf>
    <xf numFmtId="0" fontId="13" fillId="3" borderId="14" xfId="250">
      <alignment vertical="top" shrinkToFit="1"/>
      <protection locked="0"/>
    </xf>
    <xf numFmtId="0" fontId="15" fillId="3" borderId="14" xfId="251">
      <alignment vertical="top" shrinkToFit="1"/>
      <protection locked="0"/>
    </xf>
    <xf numFmtId="0" fontId="16" fillId="3" borderId="14" xfId="252">
      <alignment vertical="top" shrinkToFit="1"/>
      <protection locked="0"/>
    </xf>
    <xf numFmtId="164" fontId="0" fillId="0" borderId="0" xfId="0" applyNumberFormat="1">
      <alignment vertical="center"/>
    </xf>
    <xf numFmtId="4" fontId="0" fillId="0" borderId="0" xfId="0" applyNumberFormat="1">
      <alignment vertical="center"/>
    </xf>
    <xf numFmtId="0" fontId="0" fillId="0" borderId="0" xfId="0" applyNumberFormat="1">
      <alignment vertical="center"/>
    </xf>
    <xf numFmtId="0" fontId="0" fillId="0" borderId="0" xfId="0" quotePrefix="1">
      <alignment vertical="center"/>
    </xf>
    <xf numFmtId="0" fontId="13" fillId="5" borderId="13" xfId="246" applyAlignment="1">
      <alignment horizontal="left" vertical="top" wrapText="1" shrinkToFit="1"/>
    </xf>
    <xf numFmtId="0" fontId="12" fillId="3" borderId="14" xfId="249" applyAlignment="1">
      <alignment vertical="top" wrapText="1" shrinkToFit="1"/>
      <protection locked="0"/>
    </xf>
    <xf numFmtId="0" fontId="0" fillId="0" borderId="0" xfId="0" applyAlignment="1">
      <alignment vertical="center" wrapText="1"/>
    </xf>
    <xf numFmtId="0" fontId="30" fillId="0" borderId="24" xfId="0" applyFont="1" applyBorder="1" applyAlignment="1">
      <alignment horizontal="left" vertical="center" wrapText="1" indent="4"/>
    </xf>
    <xf numFmtId="0" fontId="0" fillId="0" borderId="24" xfId="0" applyBorder="1">
      <alignment vertical="center"/>
    </xf>
    <xf numFmtId="0" fontId="31" fillId="0" borderId="24" xfId="0" applyFont="1" applyBorder="1" applyAlignment="1">
      <alignment horizontal="center" vertical="center" wrapText="1"/>
    </xf>
    <xf numFmtId="0" fontId="32" fillId="0" borderId="24" xfId="0" applyFont="1" applyBorder="1" applyAlignment="1">
      <alignment vertical="center" wrapText="1"/>
    </xf>
    <xf numFmtId="0" fontId="33" fillId="0" borderId="24" xfId="0" applyFont="1" applyBorder="1" applyAlignment="1">
      <alignment vertical="center" wrapText="1"/>
    </xf>
    <xf numFmtId="0" fontId="0" fillId="0" borderId="24" xfId="0" applyFont="1" applyBorder="1" applyAlignment="1">
      <alignment vertical="center" wrapText="1"/>
    </xf>
    <xf numFmtId="0" fontId="0" fillId="0" borderId="24" xfId="0" applyBorder="1" applyAlignment="1">
      <alignment vertical="center" wrapText="1"/>
    </xf>
    <xf numFmtId="0" fontId="36" fillId="0" borderId="24" xfId="294" applyBorder="1" applyAlignment="1" applyProtection="1">
      <alignment vertical="center" wrapText="1"/>
    </xf>
    <xf numFmtId="0" fontId="37" fillId="0" borderId="24" xfId="0" applyFont="1" applyBorder="1" applyAlignment="1">
      <alignment vertical="center" wrapText="1"/>
    </xf>
    <xf numFmtId="0" fontId="35" fillId="0" borderId="24" xfId="0" applyFont="1" applyBorder="1" applyAlignment="1">
      <alignment vertical="center" wrapText="1"/>
    </xf>
    <xf numFmtId="0" fontId="0" fillId="0" borderId="24" xfId="0" applyBorder="1" applyAlignment="1">
      <alignment horizontal="left" vertical="center" wrapText="1" indent="1"/>
    </xf>
    <xf numFmtId="0" fontId="0" fillId="0" borderId="24" xfId="0" applyBorder="1" applyAlignment="1">
      <alignment horizontal="left" vertical="center" wrapText="1" indent="2"/>
    </xf>
    <xf numFmtId="0" fontId="36" fillId="0" borderId="24" xfId="294" applyBorder="1" applyAlignment="1" applyProtection="1">
      <alignment horizontal="left" vertical="center" wrapText="1" indent="1"/>
    </xf>
    <xf numFmtId="0" fontId="1" fillId="0" borderId="24" xfId="295" applyFont="1" applyBorder="1" applyAlignment="1">
      <alignment horizontal="left" vertical="center" wrapText="1" indent="1"/>
    </xf>
    <xf numFmtId="0" fontId="0" fillId="0" borderId="0" xfId="0" applyBorder="1" applyAlignment="1">
      <alignment vertical="center" wrapText="1"/>
    </xf>
    <xf numFmtId="0" fontId="1" fillId="0" borderId="24" xfId="295" applyNumberFormat="1" applyFont="1" applyBorder="1" applyAlignment="1">
      <alignment vertical="center" wrapText="1"/>
    </xf>
    <xf numFmtId="0" fontId="1" fillId="0" borderId="24" xfId="295" applyFont="1" applyBorder="1" applyAlignment="1">
      <alignment vertical="center" wrapText="1"/>
    </xf>
    <xf numFmtId="0" fontId="1" fillId="0" borderId="24" xfId="295" applyFont="1" applyBorder="1" applyAlignment="1">
      <alignment vertical="top" wrapText="1"/>
    </xf>
    <xf numFmtId="0" fontId="0" fillId="0" borderId="24" xfId="0" applyNumberFormat="1" applyBorder="1" applyAlignment="1">
      <alignment horizontal="left" vertical="center" wrapText="1"/>
    </xf>
    <xf numFmtId="0" fontId="36" fillId="0" borderId="0" xfId="294" applyBorder="1" applyAlignment="1" applyProtection="1">
      <alignment vertical="center" wrapText="1"/>
    </xf>
    <xf numFmtId="0" fontId="0" fillId="36" borderId="1" xfId="0" applyFill="1" applyBorder="1" applyAlignment="1">
      <alignment vertical="center" wrapText="1"/>
    </xf>
    <xf numFmtId="0" fontId="0" fillId="0" borderId="26" xfId="0" applyBorder="1" applyAlignment="1">
      <alignment vertical="center" wrapText="1"/>
    </xf>
    <xf numFmtId="0" fontId="30" fillId="0" borderId="24" xfId="0" applyFont="1" applyBorder="1" applyAlignment="1">
      <alignment horizontal="center" vertical="center" wrapText="1"/>
    </xf>
    <xf numFmtId="0" fontId="0" fillId="0" borderId="25" xfId="0" applyBorder="1" applyAlignment="1">
      <alignment vertical="center" wrapText="1"/>
    </xf>
    <xf numFmtId="0" fontId="0" fillId="0" borderId="25" xfId="0" applyBorder="1">
      <alignment vertical="center"/>
    </xf>
    <xf numFmtId="0" fontId="35" fillId="0" borderId="25" xfId="0" applyFont="1" applyBorder="1" applyAlignment="1">
      <alignment vertical="center" wrapText="1"/>
    </xf>
    <xf numFmtId="0" fontId="0" fillId="0" borderId="25" xfId="0" applyBorder="1" applyAlignment="1">
      <alignment horizontal="left" vertical="center" wrapText="1" indent="1"/>
    </xf>
    <xf numFmtId="0" fontId="40" fillId="37" borderId="0" xfId="296" applyFont="1" applyFill="1" applyBorder="1" applyAlignment="1">
      <alignment horizontal="left" vertical="top" indent="2" shrinkToFit="1"/>
    </xf>
    <xf numFmtId="0" fontId="0" fillId="0" borderId="25" xfId="0" applyBorder="1" applyAlignment="1">
      <alignment horizontal="left" vertical="center" wrapText="1"/>
    </xf>
    <xf numFmtId="0" fontId="0" fillId="0" borderId="25" xfId="0" applyFont="1" applyBorder="1" applyAlignment="1">
      <alignment vertical="center" wrapText="1"/>
    </xf>
    <xf numFmtId="0" fontId="0" fillId="0" borderId="27" xfId="0" applyBorder="1" applyAlignment="1">
      <alignment vertical="center" wrapText="1"/>
    </xf>
    <xf numFmtId="0" fontId="40" fillId="37" borderId="0" xfId="296" applyFont="1" applyFill="1" applyBorder="1" applyAlignment="1">
      <alignment horizontal="left" vertical="top" indent="1" shrinkToFit="1"/>
    </xf>
    <xf numFmtId="0" fontId="40" fillId="37" borderId="0" xfId="296" applyFont="1" applyFill="1" applyBorder="1" applyAlignment="1">
      <alignment horizontal="left" vertical="top" wrapText="1"/>
    </xf>
    <xf numFmtId="0" fontId="37" fillId="0" borderId="25" xfId="0" applyFont="1" applyBorder="1" applyAlignment="1">
      <alignment vertical="center" wrapText="1"/>
    </xf>
    <xf numFmtId="0" fontId="36" fillId="0" borderId="0" xfId="294" applyAlignment="1" applyProtection="1">
      <alignment horizontal="center" vertical="center"/>
    </xf>
    <xf numFmtId="0" fontId="36" fillId="0" borderId="24" xfId="294" applyBorder="1" applyAlignment="1" applyProtection="1">
      <alignment horizontal="center" vertical="center" wrapText="1"/>
    </xf>
    <xf numFmtId="0" fontId="12" fillId="5" borderId="0" xfId="37">
      <alignment vertical="top" shrinkToFit="1"/>
    </xf>
    <xf numFmtId="0" fontId="11" fillId="5" borderId="0" xfId="36">
      <alignment vertical="top" shrinkToFit="1"/>
    </xf>
    <xf numFmtId="0" fontId="14" fillId="5" borderId="0" xfId="40">
      <alignment vertical="top" shrinkToFit="1"/>
    </xf>
    <xf numFmtId="0" fontId="13" fillId="5" borderId="0" xfId="68">
      <alignment vertical="top" shrinkToFit="1"/>
    </xf>
  </cellXfs>
  <cellStyles count="29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294" builtinId="8"/>
    <cellStyle name="Input" xfId="34" builtinId="20" customBuiltin="1"/>
    <cellStyle name="Linked Cell" xfId="35" builtinId="24" customBuiltin="1"/>
    <cellStyle name="MSSStyle001" xfId="36"/>
    <cellStyle name="MSSStyle002" xfId="37"/>
    <cellStyle name="MSSStyle002 2" xfId="296"/>
    <cellStyle name="MSSStyle003" xfId="38"/>
    <cellStyle name="MSSStyle004" xfId="39"/>
    <cellStyle name="MSSStyle005" xfId="40"/>
    <cellStyle name="MSSStyle006" xfId="41"/>
    <cellStyle name="MSSStyle007" xfId="42"/>
    <cellStyle name="MSSStyle008" xfId="43"/>
    <cellStyle name="MSSStyle009" xfId="44"/>
    <cellStyle name="MSSStyle010" xfId="45"/>
    <cellStyle name="MSSStyle011" xfId="46"/>
    <cellStyle name="MSSStyle012" xfId="47"/>
    <cellStyle name="MSSStyle013" xfId="48"/>
    <cellStyle name="MSSStyle014" xfId="49"/>
    <cellStyle name="MSSStyle015" xfId="50"/>
    <cellStyle name="MSSStyle016" xfId="51"/>
    <cellStyle name="MSSStyle017" xfId="52"/>
    <cellStyle name="MSSStyle018" xfId="53"/>
    <cellStyle name="MSSStyle019" xfId="54"/>
    <cellStyle name="MSSStyle020" xfId="55"/>
    <cellStyle name="MSSStyle021" xfId="56"/>
    <cellStyle name="MSSStyle022" xfId="57"/>
    <cellStyle name="MSSStyle023" xfId="58"/>
    <cellStyle name="MSSStyle024" xfId="59"/>
    <cellStyle name="MSSStyle025" xfId="60"/>
    <cellStyle name="MSSStyle026" xfId="61"/>
    <cellStyle name="MSSStyle027" xfId="62"/>
    <cellStyle name="MSSStyle028" xfId="63"/>
    <cellStyle name="MSSStyle029" xfId="64"/>
    <cellStyle name="MSSStyle030" xfId="65"/>
    <cellStyle name="MSSStyle031" xfId="66"/>
    <cellStyle name="MSSStyle032" xfId="67"/>
    <cellStyle name="MSSStyle033" xfId="68"/>
    <cellStyle name="MSSStyle034" xfId="69"/>
    <cellStyle name="MSSStyle035" xfId="70"/>
    <cellStyle name="MSSStyle036" xfId="71"/>
    <cellStyle name="MSSStyle037" xfId="72"/>
    <cellStyle name="MSSStyle038" xfId="73"/>
    <cellStyle name="MSSStyle039" xfId="74"/>
    <cellStyle name="MSSStyle040" xfId="75"/>
    <cellStyle name="MSSStyle041" xfId="76"/>
    <cellStyle name="MSSStyle042" xfId="77"/>
    <cellStyle name="MSSStyle043" xfId="78"/>
    <cellStyle name="MSSStyle044" xfId="79"/>
    <cellStyle name="MSSStyle045" xfId="80"/>
    <cellStyle name="MSSStyle046" xfId="81"/>
    <cellStyle name="MSSStyle047" xfId="82"/>
    <cellStyle name="MSSStyle048" xfId="83"/>
    <cellStyle name="MSSStyle049" xfId="84"/>
    <cellStyle name="MSSStyle050" xfId="85"/>
    <cellStyle name="MSSStyle051" xfId="86"/>
    <cellStyle name="MSSStyle052" xfId="87"/>
    <cellStyle name="MSSStyle053" xfId="88"/>
    <cellStyle name="MSSStyle054" xfId="89"/>
    <cellStyle name="MSSStyle055" xfId="90"/>
    <cellStyle name="MSSStyle056" xfId="91"/>
    <cellStyle name="MSSStyle057" xfId="92"/>
    <cellStyle name="MSSStyle058" xfId="93"/>
    <cellStyle name="MSSStyle059" xfId="94"/>
    <cellStyle name="MSSStyle060" xfId="95"/>
    <cellStyle name="MSSStyle061" xfId="96"/>
    <cellStyle name="MSSStyle062" xfId="97"/>
    <cellStyle name="MSSStyle063" xfId="98"/>
    <cellStyle name="MSSStyle064" xfId="99"/>
    <cellStyle name="MSSStyle065" xfId="100"/>
    <cellStyle name="MSSStyle066" xfId="101"/>
    <cellStyle name="MSSStyle067" xfId="102"/>
    <cellStyle name="MSSStyle068" xfId="103"/>
    <cellStyle name="MSSStyle069" xfId="104"/>
    <cellStyle name="MSSStyle070" xfId="105"/>
    <cellStyle name="MSSStyle071" xfId="106"/>
    <cellStyle name="MSSStyle072" xfId="107"/>
    <cellStyle name="MSSStyle073" xfId="108"/>
    <cellStyle name="MSSStyle074" xfId="109"/>
    <cellStyle name="MSSStyle075" xfId="110"/>
    <cellStyle name="MSSStyle076" xfId="111"/>
    <cellStyle name="MSSStyle077" xfId="112"/>
    <cellStyle name="MSSStyle078" xfId="113"/>
    <cellStyle name="MSSStyle079" xfId="114"/>
    <cellStyle name="MSSStyle080" xfId="115"/>
    <cellStyle name="MSSStyle081" xfId="116"/>
    <cellStyle name="MSSStyle082" xfId="117"/>
    <cellStyle name="MSSStyle083" xfId="118"/>
    <cellStyle name="MSSStyle084" xfId="119"/>
    <cellStyle name="MSSStyle085" xfId="120"/>
    <cellStyle name="MSSStyle086" xfId="121"/>
    <cellStyle name="MSSStyle087" xfId="122"/>
    <cellStyle name="MSSStyle088" xfId="123"/>
    <cellStyle name="MSSStyle089" xfId="124"/>
    <cellStyle name="MSSStyle090" xfId="125"/>
    <cellStyle name="MSSStyle091" xfId="126"/>
    <cellStyle name="MSSStyle092" xfId="127"/>
    <cellStyle name="MSSStyle093" xfId="128"/>
    <cellStyle name="MSSStyle094" xfId="129"/>
    <cellStyle name="MSSStyle095" xfId="130"/>
    <cellStyle name="MSSStyle096" xfId="131"/>
    <cellStyle name="MSSStyle097" xfId="132"/>
    <cellStyle name="MSSStyle098" xfId="133"/>
    <cellStyle name="MSSStyle099" xfId="134"/>
    <cellStyle name="MSSStyle100" xfId="135"/>
    <cellStyle name="MSSStyle101" xfId="136"/>
    <cellStyle name="MSSStyle102" xfId="137"/>
    <cellStyle name="MSSStyle103" xfId="138"/>
    <cellStyle name="MSSStyle104" xfId="139"/>
    <cellStyle name="MSSStyle105" xfId="140"/>
    <cellStyle name="MSSStyle106" xfId="141"/>
    <cellStyle name="MSSStyle107" xfId="142"/>
    <cellStyle name="MSSStyle108" xfId="143"/>
    <cellStyle name="MSSStyle109" xfId="144"/>
    <cellStyle name="MSSStyle110" xfId="145"/>
    <cellStyle name="MSSStyle111" xfId="146"/>
    <cellStyle name="MSSStyle112" xfId="147"/>
    <cellStyle name="MSSStyle113" xfId="148"/>
    <cellStyle name="MSSStyle114" xfId="149"/>
    <cellStyle name="MSSStyle115" xfId="150"/>
    <cellStyle name="MSSStyle116" xfId="151"/>
    <cellStyle name="MSSStyle117" xfId="152"/>
    <cellStyle name="MSSStyle118" xfId="153"/>
    <cellStyle name="MSSStyle119" xfId="154"/>
    <cellStyle name="MSSStyle120" xfId="155"/>
    <cellStyle name="MSSStyle121" xfId="156"/>
    <cellStyle name="MSSStyle122" xfId="157"/>
    <cellStyle name="MSSStyle123" xfId="158"/>
    <cellStyle name="MSSStyle124" xfId="159"/>
    <cellStyle name="MSSStyle125" xfId="160"/>
    <cellStyle name="MSSStyle126" xfId="161"/>
    <cellStyle name="MSSStyle127" xfId="162"/>
    <cellStyle name="MSSStyle128" xfId="163"/>
    <cellStyle name="MSSStyle129" xfId="164"/>
    <cellStyle name="MSSStyle130" xfId="165"/>
    <cellStyle name="MSSStyle131" xfId="166"/>
    <cellStyle name="MSSStyle132" xfId="167"/>
    <cellStyle name="MSSStyle133" xfId="168"/>
    <cellStyle name="MSSStyle134" xfId="169"/>
    <cellStyle name="MSSStyle135" xfId="170"/>
    <cellStyle name="MSSStyle136" xfId="171"/>
    <cellStyle name="MSSStyle137" xfId="172"/>
    <cellStyle name="MSSStyle138" xfId="173"/>
    <cellStyle name="MSSStyle139" xfId="174"/>
    <cellStyle name="MSSStyle140" xfId="175"/>
    <cellStyle name="MSSStyle141" xfId="176"/>
    <cellStyle name="MSSStyle142" xfId="177"/>
    <cellStyle name="MSSStyle143" xfId="178"/>
    <cellStyle name="MSSStyle144" xfId="179"/>
    <cellStyle name="MSSStyle145" xfId="180"/>
    <cellStyle name="MSSStyle146" xfId="181"/>
    <cellStyle name="MSSStyle147" xfId="182"/>
    <cellStyle name="MSSStyle148" xfId="183"/>
    <cellStyle name="MSSStyle149" xfId="184"/>
    <cellStyle name="MSSStyle150" xfId="185"/>
    <cellStyle name="MSSStyle151" xfId="186"/>
    <cellStyle name="MSSStyle152" xfId="187"/>
    <cellStyle name="MSSStyle153" xfId="188"/>
    <cellStyle name="MSSStyle154" xfId="189"/>
    <cellStyle name="MSSStyle155" xfId="190"/>
    <cellStyle name="MSSStyle156" xfId="191"/>
    <cellStyle name="MSSStyle157" xfId="192"/>
    <cellStyle name="MSSStyle158" xfId="193"/>
    <cellStyle name="MSSStyle159" xfId="194"/>
    <cellStyle name="MSSStyle160" xfId="195"/>
    <cellStyle name="MSSStyle161" xfId="196"/>
    <cellStyle name="MSSStyle162" xfId="197"/>
    <cellStyle name="MSSStyle163" xfId="198"/>
    <cellStyle name="MSSStyle164" xfId="199"/>
    <cellStyle name="MSSStyle165" xfId="200"/>
    <cellStyle name="MSSStyle166" xfId="201"/>
    <cellStyle name="MSSStyle167" xfId="202"/>
    <cellStyle name="MSSStyle168" xfId="203"/>
    <cellStyle name="MSSStyle169" xfId="204"/>
    <cellStyle name="MSSStyle170" xfId="205"/>
    <cellStyle name="MSSStyle171" xfId="206"/>
    <cellStyle name="MSSStyle172" xfId="207"/>
    <cellStyle name="MSSStyle173" xfId="208"/>
    <cellStyle name="MSSStyle174" xfId="209"/>
    <cellStyle name="MSSStyle175" xfId="210"/>
    <cellStyle name="MSSStyle176" xfId="211"/>
    <cellStyle name="MSSStyle177" xfId="212"/>
    <cellStyle name="MSSStyle178" xfId="213"/>
    <cellStyle name="MSSStyle179" xfId="214"/>
    <cellStyle name="MSSStyle180" xfId="215"/>
    <cellStyle name="MSSStyle181" xfId="216"/>
    <cellStyle name="MSSStyle182" xfId="217"/>
    <cellStyle name="MSSStyle183" xfId="218"/>
    <cellStyle name="MSSStyle184" xfId="219"/>
    <cellStyle name="MSSStyle185" xfId="220"/>
    <cellStyle name="MSSStyle186" xfId="221"/>
    <cellStyle name="MSSStyle187" xfId="222"/>
    <cellStyle name="MSSStyle188" xfId="223"/>
    <cellStyle name="MSSStyle189" xfId="224"/>
    <cellStyle name="MSSStyle190" xfId="225"/>
    <cellStyle name="MSSStyle191" xfId="226"/>
    <cellStyle name="MSSStyle192" xfId="227"/>
    <cellStyle name="MSSStyle193" xfId="228"/>
    <cellStyle name="MSSStyle194" xfId="229"/>
    <cellStyle name="MSSStyle195" xfId="230"/>
    <cellStyle name="MSSStyle196" xfId="231"/>
    <cellStyle name="MSSStyle197" xfId="232"/>
    <cellStyle name="MSSStyle198" xfId="233"/>
    <cellStyle name="MSSStyle199" xfId="234"/>
    <cellStyle name="MSSStyle200" xfId="235"/>
    <cellStyle name="MSSStyle201" xfId="236"/>
    <cellStyle name="MSSStyle202" xfId="237"/>
    <cellStyle name="MSSStyle203" xfId="238"/>
    <cellStyle name="MSSStyle204" xfId="239"/>
    <cellStyle name="MSSStyle205" xfId="240"/>
    <cellStyle name="MSSStyle206" xfId="241"/>
    <cellStyle name="MSSStyle207" xfId="242"/>
    <cellStyle name="MSSStyle208" xfId="243"/>
    <cellStyle name="MSSStyle209" xfId="244"/>
    <cellStyle name="MSSStyle210" xfId="245"/>
    <cellStyle name="MSSStyle211" xfId="246"/>
    <cellStyle name="MSSStyle212" xfId="247"/>
    <cellStyle name="MSSStyle213" xfId="248"/>
    <cellStyle name="MSSStyle214" xfId="249"/>
    <cellStyle name="MSSStyle215" xfId="250"/>
    <cellStyle name="MSSStyle216" xfId="251"/>
    <cellStyle name="MSSStyle217" xfId="252"/>
    <cellStyle name="MSSStyle218" xfId="253"/>
    <cellStyle name="MSSStyle219" xfId="254"/>
    <cellStyle name="MSSStyle220" xfId="255"/>
    <cellStyle name="MSSStyle221" xfId="256"/>
    <cellStyle name="MSSStyle222" xfId="257"/>
    <cellStyle name="MSSStyle223" xfId="258"/>
    <cellStyle name="MSSStyle224" xfId="259"/>
    <cellStyle name="MSSStyle225" xfId="260"/>
    <cellStyle name="MSSStyle226" xfId="261"/>
    <cellStyle name="MSSStyle227" xfId="262"/>
    <cellStyle name="MSSStyle228" xfId="263"/>
    <cellStyle name="MSSStyle229" xfId="264"/>
    <cellStyle name="MSSStyle230" xfId="265"/>
    <cellStyle name="MSSStyle231" xfId="266"/>
    <cellStyle name="MSSStyle232" xfId="267"/>
    <cellStyle name="MSSStyle233" xfId="268"/>
    <cellStyle name="MSSStyle234" xfId="269"/>
    <cellStyle name="MSSStyle235" xfId="270"/>
    <cellStyle name="MSSStyle236" xfId="271"/>
    <cellStyle name="MSSStyle237" xfId="272"/>
    <cellStyle name="MSSStyle238" xfId="273"/>
    <cellStyle name="MSSStyle239" xfId="274"/>
    <cellStyle name="MSSStyle240" xfId="275"/>
    <cellStyle name="MSSStyle241" xfId="276"/>
    <cellStyle name="MSSStyle242" xfId="277"/>
    <cellStyle name="MSSStyle243" xfId="278"/>
    <cellStyle name="MSSStyle244" xfId="279"/>
    <cellStyle name="MSSStyle245" xfId="280"/>
    <cellStyle name="MSSStyle246" xfId="281"/>
    <cellStyle name="MSSStyle247" xfId="282"/>
    <cellStyle name="MSSStyle248" xfId="283"/>
    <cellStyle name="MSSStyle249" xfId="284"/>
    <cellStyle name="MSSStyle250" xfId="285"/>
    <cellStyle name="MSSStyle251" xfId="286"/>
    <cellStyle name="MSSStyle252" xfId="287"/>
    <cellStyle name="Neutral" xfId="288" builtinId="28" customBuiltin="1"/>
    <cellStyle name="Normal" xfId="0" builtinId="0"/>
    <cellStyle name="Normal 2" xfId="295"/>
    <cellStyle name="Note" xfId="289" builtinId="10" customBuiltin="1"/>
    <cellStyle name="Output" xfId="290" builtinId="21" customBuiltin="1"/>
    <cellStyle name="Title" xfId="291" builtinId="15" customBuiltin="1"/>
    <cellStyle name="Total" xfId="292" builtinId="25" customBuiltin="1"/>
    <cellStyle name="Warning Text" xfId="29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000000"/>
      <rgbColor rgb="00FFFFFF"/>
      <rgbColor rgb="00ADD8E6"/>
      <rgbColor rgb="00F0F0F0"/>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Firm Value by Investment Round</a:t>
            </a:r>
          </a:p>
        </c:rich>
      </c:tx>
      <c:layout>
        <c:manualLayout>
          <c:xMode val="edge"/>
          <c:yMode val="edge"/>
          <c:x val="0.33870967741935482"/>
          <c:y val="2.3880597014925373E-2"/>
        </c:manualLayout>
      </c:layout>
      <c:overlay val="0"/>
      <c:spPr>
        <a:noFill/>
        <a:ln w="25400">
          <a:noFill/>
        </a:ln>
      </c:spPr>
    </c:title>
    <c:autoTitleDeleted val="0"/>
    <c:plotArea>
      <c:layout>
        <c:manualLayout>
          <c:layoutTarget val="inner"/>
          <c:xMode val="edge"/>
          <c:yMode val="edge"/>
          <c:x val="0.18064516129032257"/>
          <c:y val="0.1373134328358209"/>
          <c:w val="0.7924731182795699"/>
          <c:h val="0.65970149253731347"/>
        </c:manualLayout>
      </c:layout>
      <c:barChart>
        <c:barDir val="col"/>
        <c:grouping val="clustered"/>
        <c:varyColors val="0"/>
        <c:ser>
          <c:idx val="1"/>
          <c:order val="0"/>
          <c:tx>
            <c:v>Starting Value</c:v>
          </c:tx>
          <c:spPr>
            <a:solidFill>
              <a:srgbClr val="C0504D"/>
            </a:solidFill>
            <a:ln w="25400">
              <a:noFill/>
            </a:ln>
          </c:spPr>
          <c:invertIfNegative val="0"/>
          <c:val>
            <c:numRef>
              <c:f>[0]!Firm_Value_Start</c:f>
              <c:numCache>
                <c:formatCode>"$"#,##0_);[Red]\("$"#,##0\)</c:formatCode>
                <c:ptCount val="3"/>
                <c:pt idx="0">
                  <c:v>1000000</c:v>
                </c:pt>
                <c:pt idx="1">
                  <c:v>1000000</c:v>
                </c:pt>
                <c:pt idx="2">
                  <c:v>1000000</c:v>
                </c:pt>
              </c:numCache>
            </c:numRef>
          </c:val>
        </c:ser>
        <c:ser>
          <c:idx val="0"/>
          <c:order val="1"/>
          <c:tx>
            <c:v>Ending Value</c:v>
          </c:tx>
          <c:spPr>
            <a:solidFill>
              <a:srgbClr val="00B0F0"/>
            </a:solidFill>
            <a:ln w="25400">
              <a:noFill/>
            </a:ln>
          </c:spPr>
          <c:invertIfNegative val="0"/>
          <c:cat>
            <c:strRef>
              <c:f>[0]!Rounds_plt</c:f>
              <c:strCache>
                <c:ptCount val="3"/>
                <c:pt idx="0">
                  <c:v>Seed</c:v>
                </c:pt>
                <c:pt idx="1">
                  <c:v>Round A</c:v>
                </c:pt>
                <c:pt idx="2">
                  <c:v>Exit</c:v>
                </c:pt>
              </c:strCache>
            </c:strRef>
          </c:cat>
          <c:val>
            <c:numRef>
              <c:f>[0]!Firm_Value_End</c:f>
              <c:numCache>
                <c:formatCode>"$"#,##0_);[Red]\("$"#,##0\)</c:formatCode>
                <c:ptCount val="3"/>
                <c:pt idx="0">
                  <c:v>1000001</c:v>
                </c:pt>
                <c:pt idx="1">
                  <c:v>1000000</c:v>
                </c:pt>
                <c:pt idx="2">
                  <c:v>1000000</c:v>
                </c:pt>
              </c:numCache>
            </c:numRef>
          </c:val>
        </c:ser>
        <c:dLbls>
          <c:showLegendKey val="0"/>
          <c:showVal val="0"/>
          <c:showCatName val="0"/>
          <c:showSerName val="0"/>
          <c:showPercent val="0"/>
          <c:showBubbleSize val="0"/>
        </c:dLbls>
        <c:gapWidth val="150"/>
        <c:axId val="529947656"/>
        <c:axId val="529948048"/>
      </c:barChart>
      <c:catAx>
        <c:axId val="52994765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529948048"/>
        <c:crosses val="autoZero"/>
        <c:auto val="1"/>
        <c:lblAlgn val="ctr"/>
        <c:lblOffset val="100"/>
        <c:tickLblSkip val="1"/>
        <c:tickMarkSkip val="1"/>
        <c:noMultiLvlLbl val="0"/>
      </c:catAx>
      <c:valAx>
        <c:axId val="529948048"/>
        <c:scaling>
          <c:orientation val="minMax"/>
        </c:scaling>
        <c:delete val="0"/>
        <c:axPos val="l"/>
        <c:majorGridlines>
          <c:spPr>
            <a:ln w="3175">
              <a:solidFill>
                <a:srgbClr val="808080"/>
              </a:solidFill>
              <a:prstDash val="solid"/>
            </a:ln>
          </c:spPr>
        </c:majorGridlines>
        <c:numFmt formatCode="&quot;$&quot;#,##0_);[Red]\(&quot;$&quot;#,##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529947656"/>
        <c:crossesAt val="1"/>
        <c:crossBetween val="between"/>
      </c:valAx>
      <c:spPr>
        <a:solidFill>
          <a:srgbClr val="FFFFFF"/>
        </a:solidFill>
        <a:ln w="25400">
          <a:noFill/>
        </a:ln>
      </c:spPr>
    </c:plotArea>
    <c:legend>
      <c:legendPos val="r"/>
      <c:layout>
        <c:manualLayout>
          <c:xMode val="edge"/>
          <c:yMode val="edge"/>
          <c:x val="0.40860215053763443"/>
          <c:y val="0.89552238805970152"/>
          <c:w val="0.34301075268817205"/>
          <c:h val="7.1641791044776124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tr-TR"/>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pageMargins b="0.3" l="0.25" r="0.25" t="0.3" header="0.2" footer="0.2"/>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Net Investment at End of Round</a:t>
            </a:r>
          </a:p>
        </c:rich>
      </c:tx>
      <c:layout>
        <c:manualLayout>
          <c:xMode val="edge"/>
          <c:yMode val="edge"/>
          <c:x val="0.3301075268817204"/>
          <c:y val="2.3880597014925373E-2"/>
        </c:manualLayout>
      </c:layout>
      <c:overlay val="0"/>
      <c:spPr>
        <a:noFill/>
        <a:ln w="25400">
          <a:noFill/>
        </a:ln>
      </c:spPr>
    </c:title>
    <c:autoTitleDeleted val="0"/>
    <c:plotArea>
      <c:layout>
        <c:manualLayout>
          <c:layoutTarget val="inner"/>
          <c:xMode val="edge"/>
          <c:yMode val="edge"/>
          <c:x val="4.6236559139784944E-2"/>
          <c:y val="0.14029850746268657"/>
          <c:w val="0.8720430107526882"/>
          <c:h val="0.72238805970149256"/>
        </c:manualLayout>
      </c:layout>
      <c:barChart>
        <c:barDir val="col"/>
        <c:grouping val="clustered"/>
        <c:varyColors val="0"/>
        <c:ser>
          <c:idx val="0"/>
          <c:order val="0"/>
          <c:tx>
            <c:v>Net Investment End</c:v>
          </c:tx>
          <c:spPr>
            <a:solidFill>
              <a:srgbClr val="00B0F0"/>
            </a:solidFill>
            <a:ln w="25400">
              <a:noFill/>
            </a:ln>
          </c:spPr>
          <c:invertIfNegative val="0"/>
          <c:cat>
            <c:strRef>
              <c:f>[0]!Rounds_plt</c:f>
              <c:strCache>
                <c:ptCount val="3"/>
                <c:pt idx="0">
                  <c:v>Seed</c:v>
                </c:pt>
                <c:pt idx="1">
                  <c:v>Round A</c:v>
                </c:pt>
                <c:pt idx="2">
                  <c:v>Exit</c:v>
                </c:pt>
              </c:strCache>
            </c:strRef>
          </c:cat>
          <c:val>
            <c:numRef>
              <c:f>[0]!Investment_Net_End_plt</c:f>
              <c:numCache>
                <c:formatCode>"$"#,##0_);[Red]\("$"#,##0\)</c:formatCode>
                <c:ptCount val="3"/>
                <c:pt idx="0">
                  <c:v>1</c:v>
                </c:pt>
                <c:pt idx="1">
                  <c:v>1</c:v>
                </c:pt>
                <c:pt idx="2">
                  <c:v>1</c:v>
                </c:pt>
              </c:numCache>
            </c:numRef>
          </c:val>
        </c:ser>
        <c:dLbls>
          <c:showLegendKey val="0"/>
          <c:showVal val="0"/>
          <c:showCatName val="0"/>
          <c:showSerName val="0"/>
          <c:showPercent val="0"/>
          <c:showBubbleSize val="0"/>
        </c:dLbls>
        <c:gapWidth val="150"/>
        <c:axId val="529952360"/>
        <c:axId val="529952752"/>
      </c:barChart>
      <c:catAx>
        <c:axId val="529952360"/>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529952752"/>
        <c:crosses val="autoZero"/>
        <c:auto val="1"/>
        <c:lblAlgn val="ctr"/>
        <c:lblOffset val="100"/>
        <c:tickLblSkip val="1"/>
        <c:tickMarkSkip val="1"/>
        <c:noMultiLvlLbl val="0"/>
      </c:catAx>
      <c:valAx>
        <c:axId val="529952752"/>
        <c:scaling>
          <c:orientation val="minMax"/>
        </c:scaling>
        <c:delete val="0"/>
        <c:axPos val="l"/>
        <c:majorGridlines>
          <c:spPr>
            <a:ln w="3175">
              <a:solidFill>
                <a:srgbClr val="808080"/>
              </a:solidFill>
              <a:prstDash val="solid"/>
            </a:ln>
          </c:spPr>
        </c:majorGridlines>
        <c:numFmt formatCode="&quot;$&quot;#,##0_);[Red]\(&quot;$&quot;#,##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529952360"/>
        <c:crossesAt val="1"/>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Investment Held at End of Rounds byType of Security</a:t>
            </a:r>
          </a:p>
        </c:rich>
      </c:tx>
      <c:layout>
        <c:manualLayout>
          <c:xMode val="edge"/>
          <c:yMode val="edge"/>
          <c:x val="0.25405405405405407"/>
          <c:y val="2.0895522388059702E-2"/>
        </c:manualLayout>
      </c:layout>
      <c:overlay val="0"/>
      <c:spPr>
        <a:solidFill>
          <a:srgbClr val="FFFFFF"/>
        </a:solidFill>
        <a:ln w="25400">
          <a:noFill/>
        </a:ln>
      </c:spPr>
    </c:title>
    <c:autoTitleDeleted val="0"/>
    <c:plotArea>
      <c:layout>
        <c:manualLayout>
          <c:layoutTarget val="inner"/>
          <c:xMode val="edge"/>
          <c:yMode val="edge"/>
          <c:x val="4.7567567567567567E-2"/>
          <c:y val="0.17313432835820897"/>
          <c:w val="0.87891891891891893"/>
          <c:h val="0.56119402985074629"/>
        </c:manualLayout>
      </c:layout>
      <c:barChart>
        <c:barDir val="col"/>
        <c:grouping val="clustered"/>
        <c:varyColors val="0"/>
        <c:ser>
          <c:idx val="0"/>
          <c:order val="0"/>
          <c:tx>
            <c:v>Conv Notes</c:v>
          </c:tx>
          <c:spPr>
            <a:solidFill>
              <a:srgbClr val="4F81BD"/>
            </a:solidFill>
            <a:ln w="25400">
              <a:noFill/>
            </a:ln>
          </c:spPr>
          <c:invertIfNegative val="0"/>
          <c:cat>
            <c:strRef>
              <c:f>[0]!Rounds_plt</c:f>
              <c:strCache>
                <c:ptCount val="3"/>
                <c:pt idx="0">
                  <c:v>Seed</c:v>
                </c:pt>
                <c:pt idx="1">
                  <c:v>Round A</c:v>
                </c:pt>
                <c:pt idx="2">
                  <c:v>Exit</c:v>
                </c:pt>
              </c:strCache>
            </c:strRef>
          </c:cat>
          <c:val>
            <c:numRef>
              <c:f>[0]!Invest_End_Conv_plt</c:f>
              <c:numCache>
                <c:formatCode>"$"#,##0_);[Red]\("$"#,##0\)</c:formatCode>
                <c:ptCount val="3"/>
                <c:pt idx="0">
                  <c:v>0</c:v>
                </c:pt>
                <c:pt idx="1">
                  <c:v>0</c:v>
                </c:pt>
                <c:pt idx="2">
                  <c:v>0</c:v>
                </c:pt>
              </c:numCache>
            </c:numRef>
          </c:val>
        </c:ser>
        <c:ser>
          <c:idx val="1"/>
          <c:order val="1"/>
          <c:tx>
            <c:v>Preferred Stock</c:v>
          </c:tx>
          <c:spPr>
            <a:solidFill>
              <a:srgbClr val="C0504D"/>
            </a:solidFill>
            <a:ln w="25400">
              <a:noFill/>
            </a:ln>
          </c:spPr>
          <c:invertIfNegative val="0"/>
          <c:val>
            <c:numRef>
              <c:f>[0]!Invest_End_Preferred_plt</c:f>
              <c:numCache>
                <c:formatCode>"$"#,##0_);[Red]\("$"#,##0\)</c:formatCode>
                <c:ptCount val="3"/>
                <c:pt idx="0">
                  <c:v>0</c:v>
                </c:pt>
                <c:pt idx="1">
                  <c:v>0</c:v>
                </c:pt>
                <c:pt idx="2">
                  <c:v>0</c:v>
                </c:pt>
              </c:numCache>
            </c:numRef>
          </c:val>
        </c:ser>
        <c:ser>
          <c:idx val="2"/>
          <c:order val="2"/>
          <c:tx>
            <c:v>Common Stock</c:v>
          </c:tx>
          <c:spPr>
            <a:solidFill>
              <a:srgbClr val="9BBB59"/>
            </a:solidFill>
            <a:ln w="25400">
              <a:noFill/>
            </a:ln>
          </c:spPr>
          <c:invertIfNegative val="0"/>
          <c:val>
            <c:numRef>
              <c:f>[0]!Invest_End_Common_plt</c:f>
              <c:numCache>
                <c:formatCode>"$"#,##0_);[Red]\("$"#,##0\)</c:formatCode>
                <c:ptCount val="3"/>
                <c:pt idx="0">
                  <c:v>1</c:v>
                </c:pt>
                <c:pt idx="1">
                  <c:v>1</c:v>
                </c:pt>
                <c:pt idx="2">
                  <c:v>1</c:v>
                </c:pt>
              </c:numCache>
            </c:numRef>
          </c:val>
        </c:ser>
        <c:ser>
          <c:idx val="3"/>
          <c:order val="3"/>
          <c:tx>
            <c:v>Warrants</c:v>
          </c:tx>
          <c:spPr>
            <a:solidFill>
              <a:srgbClr val="8064A2"/>
            </a:solidFill>
            <a:ln w="25400">
              <a:noFill/>
            </a:ln>
          </c:spPr>
          <c:invertIfNegative val="0"/>
          <c:val>
            <c:numRef>
              <c:f>[0]!Invest_End_War_plt</c:f>
              <c:numCache>
                <c:formatCode>"$"#,##0_);[Red]\("$"#,##0\)</c:formatCode>
                <c:ptCount val="3"/>
                <c:pt idx="0">
                  <c:v>0</c:v>
                </c:pt>
                <c:pt idx="1">
                  <c:v>0</c:v>
                </c:pt>
                <c:pt idx="2">
                  <c:v>0</c:v>
                </c:pt>
              </c:numCache>
            </c:numRef>
          </c:val>
        </c:ser>
        <c:ser>
          <c:idx val="4"/>
          <c:order val="4"/>
          <c:tx>
            <c:v>Options</c:v>
          </c:tx>
          <c:spPr>
            <a:solidFill>
              <a:srgbClr val="4BACC6"/>
            </a:solidFill>
            <a:ln w="25400">
              <a:noFill/>
            </a:ln>
          </c:spPr>
          <c:invertIfNegative val="0"/>
          <c:val>
            <c:numRef>
              <c:f>[0]!Invest_End_Opt_plt</c:f>
              <c:numCache>
                <c:formatCode>"$"#,##0_);[Red]\("$"#,##0\)</c:formatCode>
                <c:ptCount val="3"/>
                <c:pt idx="0">
                  <c:v>0</c:v>
                </c:pt>
                <c:pt idx="1">
                  <c:v>0</c:v>
                </c:pt>
                <c:pt idx="2">
                  <c:v>0</c:v>
                </c:pt>
              </c:numCache>
            </c:numRef>
          </c:val>
        </c:ser>
        <c:dLbls>
          <c:showLegendKey val="0"/>
          <c:showVal val="0"/>
          <c:showCatName val="0"/>
          <c:showSerName val="0"/>
          <c:showPercent val="0"/>
          <c:showBubbleSize val="0"/>
        </c:dLbls>
        <c:gapWidth val="150"/>
        <c:axId val="529948832"/>
        <c:axId val="529955104"/>
      </c:barChart>
      <c:catAx>
        <c:axId val="52994883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529955104"/>
        <c:crosses val="autoZero"/>
        <c:auto val="1"/>
        <c:lblAlgn val="ctr"/>
        <c:lblOffset val="100"/>
        <c:tickLblSkip val="1"/>
        <c:tickMarkSkip val="1"/>
        <c:noMultiLvlLbl val="0"/>
      </c:catAx>
      <c:valAx>
        <c:axId val="529955104"/>
        <c:scaling>
          <c:orientation val="minMax"/>
        </c:scaling>
        <c:delete val="0"/>
        <c:axPos val="l"/>
        <c:majorGridlines>
          <c:spPr>
            <a:ln w="3175">
              <a:solidFill>
                <a:srgbClr val="808080"/>
              </a:solidFill>
              <a:prstDash val="solid"/>
            </a:ln>
          </c:spPr>
        </c:majorGridlines>
        <c:numFmt formatCode="&quot;$&quot;#,##0_);[Red]\(&quot;$&quot;#,##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529948832"/>
        <c:crossesAt val="1"/>
        <c:crossBetween val="between"/>
      </c:valAx>
      <c:spPr>
        <a:solidFill>
          <a:srgbClr val="FFFFFF"/>
        </a:solidFill>
        <a:ln w="25400">
          <a:noFill/>
        </a:ln>
      </c:spPr>
    </c:plotArea>
    <c:legend>
      <c:legendPos val="r"/>
      <c:layout>
        <c:manualLayout>
          <c:xMode val="edge"/>
          <c:yMode val="edge"/>
          <c:x val="0.20108108108108108"/>
          <c:y val="0.89850746268656712"/>
          <c:w val="0.59783783783783784"/>
          <c:h val="6.5671641791044774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tr-TR"/>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pageMargins b="0.75000000000000044" l="0.7000000000000004" r="0.7000000000000004" t="0.75000000000000044" header="0.30000000000000021" footer="0.30000000000000021"/>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Cumulative Investment at End of Rounds, by Original Type of Security</a:t>
            </a:r>
          </a:p>
        </c:rich>
      </c:tx>
      <c:layout>
        <c:manualLayout>
          <c:xMode val="edge"/>
          <c:yMode val="edge"/>
          <c:x val="0.2"/>
          <c:y val="2.6865671641791045E-2"/>
        </c:manualLayout>
      </c:layout>
      <c:overlay val="0"/>
      <c:spPr>
        <a:solidFill>
          <a:srgbClr val="FFFFFF"/>
        </a:solidFill>
        <a:ln w="25400">
          <a:noFill/>
        </a:ln>
      </c:spPr>
    </c:title>
    <c:autoTitleDeleted val="0"/>
    <c:plotArea>
      <c:layout>
        <c:manualLayout>
          <c:layoutTarget val="inner"/>
          <c:xMode val="edge"/>
          <c:yMode val="edge"/>
          <c:x val="0.13548387096774195"/>
          <c:y val="0.13432835820895522"/>
          <c:w val="0.78817204301075272"/>
          <c:h val="0.64477611940298507"/>
        </c:manualLayout>
      </c:layout>
      <c:barChart>
        <c:barDir val="col"/>
        <c:grouping val="clustered"/>
        <c:varyColors val="0"/>
        <c:ser>
          <c:idx val="0"/>
          <c:order val="0"/>
          <c:tx>
            <c:v>Conv Notes</c:v>
          </c:tx>
          <c:spPr>
            <a:solidFill>
              <a:srgbClr val="00B0F0"/>
            </a:solidFill>
            <a:ln w="25400">
              <a:noFill/>
            </a:ln>
          </c:spPr>
          <c:invertIfNegative val="0"/>
          <c:cat>
            <c:strRef>
              <c:f>[0]!Rounds_plt</c:f>
              <c:strCache>
                <c:ptCount val="3"/>
                <c:pt idx="0">
                  <c:v>Seed</c:v>
                </c:pt>
                <c:pt idx="1">
                  <c:v>Round A</c:v>
                </c:pt>
                <c:pt idx="2">
                  <c:v>Exit</c:v>
                </c:pt>
              </c:strCache>
            </c:strRef>
          </c:cat>
          <c:val>
            <c:numRef>
              <c:f>[0]!Invest_by_Origin_Conv_plt</c:f>
              <c:numCache>
                <c:formatCode>"$"#,##0_);[Red]\("$"#,##0\)</c:formatCode>
                <c:ptCount val="3"/>
                <c:pt idx="0">
                  <c:v>0</c:v>
                </c:pt>
                <c:pt idx="1">
                  <c:v>0</c:v>
                </c:pt>
                <c:pt idx="2">
                  <c:v>0</c:v>
                </c:pt>
              </c:numCache>
            </c:numRef>
          </c:val>
        </c:ser>
        <c:ser>
          <c:idx val="1"/>
          <c:order val="1"/>
          <c:tx>
            <c:v>Preferred Stock</c:v>
          </c:tx>
          <c:spPr>
            <a:solidFill>
              <a:srgbClr val="C0504D"/>
            </a:solidFill>
            <a:ln w="25400">
              <a:noFill/>
            </a:ln>
          </c:spPr>
          <c:invertIfNegative val="0"/>
          <c:val>
            <c:numRef>
              <c:f>[0]!Invest_by_Origin_Preferred_plt</c:f>
              <c:numCache>
                <c:formatCode>"$"#,##0_);[Red]\("$"#,##0\)</c:formatCode>
                <c:ptCount val="3"/>
                <c:pt idx="0">
                  <c:v>0</c:v>
                </c:pt>
                <c:pt idx="1">
                  <c:v>0</c:v>
                </c:pt>
                <c:pt idx="2">
                  <c:v>0</c:v>
                </c:pt>
              </c:numCache>
            </c:numRef>
          </c:val>
        </c:ser>
        <c:ser>
          <c:idx val="2"/>
          <c:order val="2"/>
          <c:tx>
            <c:v>Common Stock</c:v>
          </c:tx>
          <c:spPr>
            <a:solidFill>
              <a:srgbClr val="9BBB59"/>
            </a:solidFill>
            <a:ln w="25400">
              <a:noFill/>
            </a:ln>
          </c:spPr>
          <c:invertIfNegative val="0"/>
          <c:val>
            <c:numRef>
              <c:f>[0]!Invest_by_Origin_Common_plt</c:f>
              <c:numCache>
                <c:formatCode>"$"#,##0_);[Red]\("$"#,##0\)</c:formatCode>
                <c:ptCount val="3"/>
                <c:pt idx="0">
                  <c:v>1</c:v>
                </c:pt>
                <c:pt idx="1">
                  <c:v>1</c:v>
                </c:pt>
                <c:pt idx="2">
                  <c:v>1</c:v>
                </c:pt>
              </c:numCache>
            </c:numRef>
          </c:val>
        </c:ser>
        <c:ser>
          <c:idx val="3"/>
          <c:order val="3"/>
          <c:tx>
            <c:v>Warrants</c:v>
          </c:tx>
          <c:spPr>
            <a:solidFill>
              <a:srgbClr val="8064A2"/>
            </a:solidFill>
            <a:ln w="25400">
              <a:noFill/>
            </a:ln>
          </c:spPr>
          <c:invertIfNegative val="0"/>
          <c:val>
            <c:numRef>
              <c:f>[0]!Invest_by_Origin_War_plt</c:f>
              <c:numCache>
                <c:formatCode>"$"#,##0_);[Red]\("$"#,##0\)</c:formatCode>
                <c:ptCount val="3"/>
                <c:pt idx="0">
                  <c:v>0</c:v>
                </c:pt>
                <c:pt idx="1">
                  <c:v>0</c:v>
                </c:pt>
                <c:pt idx="2">
                  <c:v>0</c:v>
                </c:pt>
              </c:numCache>
            </c:numRef>
          </c:val>
        </c:ser>
        <c:ser>
          <c:idx val="4"/>
          <c:order val="4"/>
          <c:tx>
            <c:v>Options</c:v>
          </c:tx>
          <c:spPr>
            <a:solidFill>
              <a:srgbClr val="4BACC6"/>
            </a:solidFill>
            <a:ln w="25400">
              <a:noFill/>
            </a:ln>
          </c:spPr>
          <c:invertIfNegative val="0"/>
          <c:val>
            <c:numRef>
              <c:f>[0]!Invest_by_Origin_Opt_plt</c:f>
              <c:numCache>
                <c:formatCode>"$"#,##0_);[Red]\("$"#,##0\)</c:formatCode>
                <c:ptCount val="3"/>
                <c:pt idx="0">
                  <c:v>0</c:v>
                </c:pt>
                <c:pt idx="1">
                  <c:v>0</c:v>
                </c:pt>
                <c:pt idx="2">
                  <c:v>0</c:v>
                </c:pt>
              </c:numCache>
            </c:numRef>
          </c:val>
        </c:ser>
        <c:dLbls>
          <c:showLegendKey val="0"/>
          <c:showVal val="0"/>
          <c:showCatName val="0"/>
          <c:showSerName val="0"/>
          <c:showPercent val="0"/>
          <c:showBubbleSize val="0"/>
        </c:dLbls>
        <c:gapWidth val="150"/>
        <c:axId val="529949224"/>
        <c:axId val="529956672"/>
      </c:barChart>
      <c:catAx>
        <c:axId val="529949224"/>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529956672"/>
        <c:crosses val="autoZero"/>
        <c:auto val="1"/>
        <c:lblAlgn val="ctr"/>
        <c:lblOffset val="100"/>
        <c:tickLblSkip val="1"/>
        <c:tickMarkSkip val="1"/>
        <c:noMultiLvlLbl val="0"/>
      </c:catAx>
      <c:valAx>
        <c:axId val="529956672"/>
        <c:scaling>
          <c:orientation val="minMax"/>
        </c:scaling>
        <c:delete val="0"/>
        <c:axPos val="l"/>
        <c:majorGridlines>
          <c:spPr>
            <a:ln w="3175">
              <a:solidFill>
                <a:srgbClr val="808080"/>
              </a:solidFill>
              <a:prstDash val="solid"/>
            </a:ln>
          </c:spPr>
        </c:majorGridlines>
        <c:numFmt formatCode="&quot;$&quot;#,##0_);[Red]\(&quot;$&quot;#,##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529949224"/>
        <c:crossesAt val="1"/>
        <c:crossBetween val="between"/>
      </c:valAx>
      <c:spPr>
        <a:solidFill>
          <a:srgbClr val="FFFFFF"/>
        </a:solidFill>
        <a:ln w="25400">
          <a:noFill/>
        </a:ln>
      </c:spPr>
    </c:plotArea>
    <c:legend>
      <c:legendPos val="r"/>
      <c:layout>
        <c:manualLayout>
          <c:xMode val="edge"/>
          <c:yMode val="edge"/>
          <c:x val="0.23440860215053763"/>
          <c:y val="0.89850746268656712"/>
          <c:w val="0.65698924731182795"/>
          <c:h val="6.5671641791044774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tr-TR"/>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pageMargins b="0.75000000000000078" l="0.70000000000000062" r="0.70000000000000062" t="0.75000000000000078"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Final Payout, by Type of Security Held</a:t>
            </a:r>
          </a:p>
        </c:rich>
      </c:tx>
      <c:layout>
        <c:manualLayout>
          <c:xMode val="edge"/>
          <c:yMode val="edge"/>
          <c:x val="0.33870967741935482"/>
          <c:y val="2.3880597014925373E-2"/>
        </c:manualLayout>
      </c:layout>
      <c:overlay val="0"/>
      <c:spPr>
        <a:noFill/>
        <a:ln w="25400">
          <a:noFill/>
        </a:ln>
      </c:spPr>
    </c:title>
    <c:autoTitleDeleted val="0"/>
    <c:plotArea>
      <c:layout>
        <c:manualLayout>
          <c:layoutTarget val="inner"/>
          <c:xMode val="edge"/>
          <c:yMode val="edge"/>
          <c:x val="0.13978494623655913"/>
          <c:y val="0.1373134328358209"/>
          <c:w val="0.83225806451612905"/>
          <c:h val="0.69253731343283587"/>
        </c:manualLayout>
      </c:layout>
      <c:barChart>
        <c:barDir val="col"/>
        <c:grouping val="clustered"/>
        <c:varyColors val="0"/>
        <c:ser>
          <c:idx val="1"/>
          <c:order val="0"/>
          <c:tx>
            <c:v>Payout</c:v>
          </c:tx>
          <c:spPr>
            <a:solidFill>
              <a:srgbClr val="92D050"/>
            </a:solidFill>
            <a:ln w="25400">
              <a:noFill/>
            </a:ln>
          </c:spPr>
          <c:invertIfNegative val="0"/>
          <c:cat>
            <c:strRef>
              <c:f>[0]!Securities_plt</c:f>
              <c:strCache>
                <c:ptCount val="7"/>
                <c:pt idx="0">
                  <c:v>Conv Note, Series B</c:v>
                </c:pt>
                <c:pt idx="1">
                  <c:v>Conv Note, Series A</c:v>
                </c:pt>
                <c:pt idx="2">
                  <c:v>Preferred, Series A</c:v>
                </c:pt>
                <c:pt idx="3">
                  <c:v>Common</c:v>
                </c:pt>
                <c:pt idx="4">
                  <c:v>Warrant</c:v>
                </c:pt>
                <c:pt idx="5">
                  <c:v>Option, Series B</c:v>
                </c:pt>
                <c:pt idx="6">
                  <c:v>Option, Series A</c:v>
                </c:pt>
              </c:strCache>
            </c:strRef>
          </c:cat>
          <c:val>
            <c:numRef>
              <c:f>[0]!Payout_EndLast</c:f>
              <c:numCache>
                <c:formatCode>"$"#,##0_);[Red]\("$"#,##0\)</c:formatCode>
                <c:ptCount val="7"/>
                <c:pt idx="0">
                  <c:v>0</c:v>
                </c:pt>
                <c:pt idx="1">
                  <c:v>0</c:v>
                </c:pt>
                <c:pt idx="2">
                  <c:v>0</c:v>
                </c:pt>
                <c:pt idx="3">
                  <c:v>1000000</c:v>
                </c:pt>
                <c:pt idx="4">
                  <c:v>0</c:v>
                </c:pt>
                <c:pt idx="5">
                  <c:v>0</c:v>
                </c:pt>
                <c:pt idx="6">
                  <c:v>0</c:v>
                </c:pt>
              </c:numCache>
            </c:numRef>
          </c:val>
        </c:ser>
        <c:dLbls>
          <c:showLegendKey val="0"/>
          <c:showVal val="0"/>
          <c:showCatName val="0"/>
          <c:showSerName val="0"/>
          <c:showPercent val="0"/>
          <c:showBubbleSize val="0"/>
        </c:dLbls>
        <c:gapWidth val="150"/>
        <c:axId val="529954320"/>
        <c:axId val="529951184"/>
      </c:barChart>
      <c:catAx>
        <c:axId val="529954320"/>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529951184"/>
        <c:crosses val="autoZero"/>
        <c:auto val="1"/>
        <c:lblAlgn val="ctr"/>
        <c:lblOffset val="100"/>
        <c:tickLblSkip val="1"/>
        <c:tickMarkSkip val="1"/>
        <c:noMultiLvlLbl val="0"/>
      </c:catAx>
      <c:valAx>
        <c:axId val="529951184"/>
        <c:scaling>
          <c:orientation val="minMax"/>
        </c:scaling>
        <c:delete val="0"/>
        <c:axPos val="l"/>
        <c:majorGridlines>
          <c:spPr>
            <a:ln w="3175">
              <a:solidFill>
                <a:srgbClr val="808080"/>
              </a:solidFill>
              <a:prstDash val="solid"/>
            </a:ln>
          </c:spPr>
        </c:majorGridlines>
        <c:numFmt formatCode="&quot;$&quot;#,##0_);[Red]\(&quot;$&quot;#,##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529954320"/>
        <c:crossesAt val="1"/>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Final Payout, by Original Type of Security</a:t>
            </a:r>
          </a:p>
        </c:rich>
      </c:tx>
      <c:layout>
        <c:manualLayout>
          <c:xMode val="edge"/>
          <c:yMode val="edge"/>
          <c:x val="0.34838709677419355"/>
          <c:y val="2.3880597014925373E-2"/>
        </c:manualLayout>
      </c:layout>
      <c:overlay val="0"/>
      <c:spPr>
        <a:noFill/>
        <a:ln w="25400">
          <a:noFill/>
        </a:ln>
      </c:spPr>
    </c:title>
    <c:autoTitleDeleted val="0"/>
    <c:plotArea>
      <c:layout>
        <c:manualLayout>
          <c:layoutTarget val="inner"/>
          <c:xMode val="edge"/>
          <c:yMode val="edge"/>
          <c:x val="0.14086021505376345"/>
          <c:y val="0.1373134328358209"/>
          <c:w val="0.83118279569892473"/>
          <c:h val="0.69552238805970146"/>
        </c:manualLayout>
      </c:layout>
      <c:barChart>
        <c:barDir val="col"/>
        <c:grouping val="clustered"/>
        <c:varyColors val="0"/>
        <c:ser>
          <c:idx val="1"/>
          <c:order val="0"/>
          <c:tx>
            <c:v>Payout</c:v>
          </c:tx>
          <c:spPr>
            <a:solidFill>
              <a:srgbClr val="C0504D"/>
            </a:solidFill>
            <a:ln w="25400">
              <a:noFill/>
            </a:ln>
          </c:spPr>
          <c:invertIfNegative val="0"/>
          <c:cat>
            <c:strRef>
              <c:f>[0]!Securities_plt</c:f>
              <c:strCache>
                <c:ptCount val="7"/>
                <c:pt idx="0">
                  <c:v>Conv Note, Series B</c:v>
                </c:pt>
                <c:pt idx="1">
                  <c:v>Conv Note, Series A</c:v>
                </c:pt>
                <c:pt idx="2">
                  <c:v>Preferred, Series A</c:v>
                </c:pt>
                <c:pt idx="3">
                  <c:v>Common</c:v>
                </c:pt>
                <c:pt idx="4">
                  <c:v>Warrant</c:v>
                </c:pt>
                <c:pt idx="5">
                  <c:v>Option, Series B</c:v>
                </c:pt>
                <c:pt idx="6">
                  <c:v>Option, Series A</c:v>
                </c:pt>
              </c:strCache>
            </c:strRef>
          </c:cat>
          <c:val>
            <c:numRef>
              <c:f>[0]!Payout_by_Origin_Last</c:f>
              <c:numCache>
                <c:formatCode>"$"#,##0_);[Red]\("$"#,##0\)</c:formatCode>
                <c:ptCount val="7"/>
                <c:pt idx="0">
                  <c:v>0</c:v>
                </c:pt>
                <c:pt idx="1">
                  <c:v>0</c:v>
                </c:pt>
                <c:pt idx="2">
                  <c:v>0</c:v>
                </c:pt>
                <c:pt idx="3">
                  <c:v>1000000</c:v>
                </c:pt>
                <c:pt idx="4">
                  <c:v>0</c:v>
                </c:pt>
                <c:pt idx="5">
                  <c:v>0</c:v>
                </c:pt>
                <c:pt idx="6">
                  <c:v>0</c:v>
                </c:pt>
              </c:numCache>
            </c:numRef>
          </c:val>
        </c:ser>
        <c:dLbls>
          <c:showLegendKey val="0"/>
          <c:showVal val="0"/>
          <c:showCatName val="0"/>
          <c:showSerName val="0"/>
          <c:showPercent val="0"/>
          <c:showBubbleSize val="0"/>
        </c:dLbls>
        <c:gapWidth val="150"/>
        <c:axId val="619026056"/>
        <c:axId val="619027232"/>
      </c:barChart>
      <c:catAx>
        <c:axId val="61902605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619027232"/>
        <c:crosses val="autoZero"/>
        <c:auto val="1"/>
        <c:lblAlgn val="ctr"/>
        <c:lblOffset val="100"/>
        <c:tickLblSkip val="1"/>
        <c:tickMarkSkip val="1"/>
        <c:noMultiLvlLbl val="0"/>
      </c:catAx>
      <c:valAx>
        <c:axId val="619027232"/>
        <c:scaling>
          <c:orientation val="minMax"/>
        </c:scaling>
        <c:delete val="0"/>
        <c:axPos val="l"/>
        <c:majorGridlines>
          <c:spPr>
            <a:ln w="3175">
              <a:solidFill>
                <a:srgbClr val="808080"/>
              </a:solidFill>
              <a:prstDash val="solid"/>
            </a:ln>
          </c:spPr>
        </c:majorGridlines>
        <c:numFmt formatCode="&quot;$&quot;#,##0_);[Red]\(&quot;$&quot;#,##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619026056"/>
        <c:crossesAt val="1"/>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4381500</xdr:colOff>
      <xdr:row>0</xdr:row>
      <xdr:rowOff>28575</xdr:rowOff>
    </xdr:from>
    <xdr:to>
      <xdr:col>0</xdr:col>
      <xdr:colOff>6543675</xdr:colOff>
      <xdr:row>1</xdr:row>
      <xdr:rowOff>85725</xdr:rowOff>
    </xdr:to>
    <xdr:pic>
      <xdr:nvPicPr>
        <xdr:cNvPr id="2" name="Picture 3" descr="Logo_R_Wide302x30_081224.gif"/>
        <xdr:cNvPicPr>
          <a:picLocks noChangeAspect="1"/>
        </xdr:cNvPicPr>
      </xdr:nvPicPr>
      <xdr:blipFill>
        <a:blip xmlns:r="http://schemas.openxmlformats.org/officeDocument/2006/relationships" r:embed="rId1" cstate="print"/>
        <a:srcRect/>
        <a:stretch>
          <a:fillRect/>
        </a:stretch>
      </xdr:blipFill>
      <xdr:spPr bwMode="auto">
        <a:xfrm>
          <a:off x="4381500" y="28575"/>
          <a:ext cx="2162175" cy="219075"/>
        </a:xfrm>
        <a:prstGeom prst="rect">
          <a:avLst/>
        </a:prstGeom>
        <a:noFill/>
        <a:ln w="9525">
          <a:noFill/>
          <a:miter lim="800000"/>
          <a:headEnd/>
          <a:tailEnd/>
        </a:ln>
      </xdr:spPr>
    </xdr:pic>
    <xdr:clientData/>
  </xdr:twoCellAnchor>
  <xdr:twoCellAnchor>
    <xdr:from>
      <xdr:col>0</xdr:col>
      <xdr:colOff>1743075</xdr:colOff>
      <xdr:row>46</xdr:row>
      <xdr:rowOff>190500</xdr:rowOff>
    </xdr:from>
    <xdr:to>
      <xdr:col>0</xdr:col>
      <xdr:colOff>4953000</xdr:colOff>
      <xdr:row>46</xdr:row>
      <xdr:rowOff>1657350</xdr:rowOff>
    </xdr:to>
    <xdr:pic>
      <xdr:nvPicPr>
        <xdr:cNvPr id="3" name="Picture 2" descr="workflow"/>
        <xdr:cNvPicPr>
          <a:picLocks noChangeAspect="1" noChangeArrowheads="1"/>
        </xdr:cNvPicPr>
      </xdr:nvPicPr>
      <xdr:blipFill>
        <a:blip xmlns:r="http://schemas.openxmlformats.org/officeDocument/2006/relationships" r:embed="rId2"/>
        <a:srcRect/>
        <a:stretch>
          <a:fillRect/>
        </a:stretch>
      </xdr:blipFill>
      <xdr:spPr bwMode="auto">
        <a:xfrm>
          <a:off x="1743075" y="4695825"/>
          <a:ext cx="3209925" cy="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1</xdr:row>
      <xdr:rowOff>19050</xdr:rowOff>
    </xdr:from>
    <xdr:to>
      <xdr:col>13</xdr:col>
      <xdr:colOff>533400</xdr:colOff>
      <xdr:row>20</xdr:row>
      <xdr:rowOff>142875</xdr:rowOff>
    </xdr:to>
    <xdr:graphicFrame macro="">
      <xdr:nvGraphicFramePr>
        <xdr:cNvPr id="1442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22</xdr:row>
      <xdr:rowOff>38100</xdr:rowOff>
    </xdr:from>
    <xdr:to>
      <xdr:col>13</xdr:col>
      <xdr:colOff>485775</xdr:colOff>
      <xdr:row>42</xdr:row>
      <xdr:rowOff>0</xdr:rowOff>
    </xdr:to>
    <xdr:graphicFrame macro="">
      <xdr:nvGraphicFramePr>
        <xdr:cNvPr id="1442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65</xdr:row>
      <xdr:rowOff>57150</xdr:rowOff>
    </xdr:from>
    <xdr:to>
      <xdr:col>13</xdr:col>
      <xdr:colOff>476250</xdr:colOff>
      <xdr:row>85</xdr:row>
      <xdr:rowOff>19050</xdr:rowOff>
    </xdr:to>
    <xdr:graphicFrame macro="">
      <xdr:nvGraphicFramePr>
        <xdr:cNvPr id="144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44</xdr:row>
      <xdr:rowOff>9525</xdr:rowOff>
    </xdr:from>
    <xdr:to>
      <xdr:col>13</xdr:col>
      <xdr:colOff>447675</xdr:colOff>
      <xdr:row>63</xdr:row>
      <xdr:rowOff>133350</xdr:rowOff>
    </xdr:to>
    <xdr:graphicFrame macro="">
      <xdr:nvGraphicFramePr>
        <xdr:cNvPr id="1443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47625</xdr:colOff>
      <xdr:row>22</xdr:row>
      <xdr:rowOff>19050</xdr:rowOff>
    </xdr:from>
    <xdr:to>
      <xdr:col>27</xdr:col>
      <xdr:colOff>495300</xdr:colOff>
      <xdr:row>41</xdr:row>
      <xdr:rowOff>142875</xdr:rowOff>
    </xdr:to>
    <xdr:graphicFrame macro="">
      <xdr:nvGraphicFramePr>
        <xdr:cNvPr id="144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47625</xdr:colOff>
      <xdr:row>1</xdr:row>
      <xdr:rowOff>9525</xdr:rowOff>
    </xdr:from>
    <xdr:to>
      <xdr:col>27</xdr:col>
      <xdr:colOff>495300</xdr:colOff>
      <xdr:row>20</xdr:row>
      <xdr:rowOff>133350</xdr:rowOff>
    </xdr:to>
    <xdr:graphicFrame macro="">
      <xdr:nvGraphicFramePr>
        <xdr:cNvPr id="144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templates.modelsheetsoft.com/browser/browse.aspx?s=captable.xls" TargetMode="External"/><Relationship Id="rId7" Type="http://schemas.openxmlformats.org/officeDocument/2006/relationships/hyperlink" Target="mailto:info@modelsheetsoft.com." TargetMode="External"/><Relationship Id="rId2" Type="http://schemas.openxmlformats.org/officeDocument/2006/relationships/hyperlink" Target="mailto:info@modelsheetsoft.com" TargetMode="External"/><Relationship Id="rId1" Type="http://schemas.openxmlformats.org/officeDocument/2006/relationships/hyperlink" Target="http://www.modelsheetsoft.com/refer.aspx?s=captable.xls" TargetMode="External"/><Relationship Id="rId6" Type="http://schemas.openxmlformats.org/officeDocument/2006/relationships/hyperlink" Target="http://www.modelsheetsoft.com/consulting-business-analysis.aspx" TargetMode="External"/><Relationship Id="rId5" Type="http://schemas.openxmlformats.org/officeDocument/2006/relationships/hyperlink" Target="http://templates.modelsheetsoft.com/modelsheettemplates/capitalization-table-templates.aspx?s=captable.xls" TargetMode="External"/><Relationship Id="rId4" Type="http://schemas.openxmlformats.org/officeDocument/2006/relationships/hyperlink" Target="http://www.modelsheetsoft.com/consulting-business-analysis.aspx?s=captable.xl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A173"/>
  <sheetViews>
    <sheetView tabSelected="1" workbookViewId="0">
      <selection activeCell="B1" sqref="B1"/>
    </sheetView>
  </sheetViews>
  <sheetFormatPr defaultRowHeight="12.75" outlineLevelRow="2" x14ac:dyDescent="0.2"/>
  <cols>
    <col min="1" max="1" width="98.7109375" style="230" customWidth="1"/>
    <col min="2" max="16384" width="9.140625" style="225"/>
  </cols>
  <sheetData>
    <row r="2" spans="1:1" ht="15.75" x14ac:dyDescent="0.2">
      <c r="A2" s="224"/>
    </row>
    <row r="3" spans="1:1" ht="18" x14ac:dyDescent="0.2">
      <c r="A3" s="226" t="s">
        <v>824</v>
      </c>
    </row>
    <row r="5" spans="1:1" ht="15" x14ac:dyDescent="0.2">
      <c r="A5" s="227" t="s">
        <v>825</v>
      </c>
    </row>
    <row r="6" spans="1:1" x14ac:dyDescent="0.2">
      <c r="A6" s="228" t="s">
        <v>826</v>
      </c>
    </row>
    <row r="7" spans="1:1" x14ac:dyDescent="0.2">
      <c r="A7" s="229"/>
    </row>
    <row r="8" spans="1:1" ht="51" x14ac:dyDescent="0.2">
      <c r="A8" s="230" t="s">
        <v>827</v>
      </c>
    </row>
    <row r="9" spans="1:1" x14ac:dyDescent="0.2">
      <c r="A9" s="231" t="s">
        <v>828</v>
      </c>
    </row>
    <row r="10" spans="1:1" x14ac:dyDescent="0.2">
      <c r="A10" s="229"/>
    </row>
    <row r="11" spans="1:1" ht="15" x14ac:dyDescent="0.2">
      <c r="A11" s="232" t="s">
        <v>829</v>
      </c>
    </row>
    <row r="12" spans="1:1" x14ac:dyDescent="0.2">
      <c r="A12" s="229"/>
    </row>
    <row r="13" spans="1:1" x14ac:dyDescent="0.2">
      <c r="A13" s="233" t="s">
        <v>830</v>
      </c>
    </row>
    <row r="14" spans="1:1" collapsed="1" x14ac:dyDescent="0.2">
      <c r="A14" s="234" t="s">
        <v>831</v>
      </c>
    </row>
    <row r="15" spans="1:1" hidden="1" outlineLevel="1" x14ac:dyDescent="0.2">
      <c r="A15" s="234" t="s">
        <v>832</v>
      </c>
    </row>
    <row r="16" spans="1:1" hidden="1" outlineLevel="2" x14ac:dyDescent="0.2">
      <c r="A16" s="235" t="s">
        <v>833</v>
      </c>
    </row>
    <row r="17" spans="1:1" hidden="1" outlineLevel="2" x14ac:dyDescent="0.2">
      <c r="A17" s="235" t="s">
        <v>834</v>
      </c>
    </row>
    <row r="18" spans="1:1" hidden="1" outlineLevel="2" x14ac:dyDescent="0.2">
      <c r="A18" s="235" t="s">
        <v>835</v>
      </c>
    </row>
    <row r="19" spans="1:1" hidden="1" outlineLevel="2" x14ac:dyDescent="0.2">
      <c r="A19" s="235" t="s">
        <v>836</v>
      </c>
    </row>
    <row r="20" spans="1:1" ht="25.5" hidden="1" outlineLevel="2" x14ac:dyDescent="0.2">
      <c r="A20" s="235" t="s">
        <v>837</v>
      </c>
    </row>
    <row r="21" spans="1:1" hidden="1" outlineLevel="2" x14ac:dyDescent="0.2">
      <c r="A21" s="234"/>
    </row>
    <row r="22" spans="1:1" hidden="1" outlineLevel="1" x14ac:dyDescent="0.2">
      <c r="A22" s="234" t="s">
        <v>838</v>
      </c>
    </row>
    <row r="23" spans="1:1" hidden="1" outlineLevel="2" x14ac:dyDescent="0.2">
      <c r="A23" s="235" t="s">
        <v>839</v>
      </c>
    </row>
    <row r="24" spans="1:1" hidden="1" outlineLevel="2" x14ac:dyDescent="0.2">
      <c r="A24" s="235" t="s">
        <v>840</v>
      </c>
    </row>
    <row r="25" spans="1:1" hidden="1" outlineLevel="2" x14ac:dyDescent="0.2">
      <c r="A25" s="235" t="s">
        <v>841</v>
      </c>
    </row>
    <row r="26" spans="1:1" hidden="1" outlineLevel="2" x14ac:dyDescent="0.2">
      <c r="A26" s="229"/>
    </row>
    <row r="27" spans="1:1" hidden="1" outlineLevel="1" x14ac:dyDescent="0.2">
      <c r="A27" s="234" t="s">
        <v>842</v>
      </c>
    </row>
    <row r="28" spans="1:1" hidden="1" outlineLevel="2" x14ac:dyDescent="0.2">
      <c r="A28" s="235" t="s">
        <v>843</v>
      </c>
    </row>
    <row r="29" spans="1:1" ht="25.5" hidden="1" outlineLevel="2" x14ac:dyDescent="0.2">
      <c r="A29" s="235" t="s">
        <v>844</v>
      </c>
    </row>
    <row r="30" spans="1:1" hidden="1" outlineLevel="2" x14ac:dyDescent="0.2">
      <c r="A30" s="235" t="s">
        <v>845</v>
      </c>
    </row>
    <row r="31" spans="1:1" hidden="1" outlineLevel="1" x14ac:dyDescent="0.2">
      <c r="A31" s="235"/>
    </row>
    <row r="32" spans="1:1" x14ac:dyDescent="0.2">
      <c r="A32" s="236" t="s">
        <v>846</v>
      </c>
    </row>
    <row r="33" spans="1:1" x14ac:dyDescent="0.2">
      <c r="A33" s="229"/>
    </row>
    <row r="34" spans="1:1" x14ac:dyDescent="0.2">
      <c r="A34" s="233" t="s">
        <v>847</v>
      </c>
    </row>
    <row r="35" spans="1:1" collapsed="1" x14ac:dyDescent="0.2">
      <c r="A35" s="234" t="s">
        <v>831</v>
      </c>
    </row>
    <row r="36" spans="1:1" hidden="1" outlineLevel="1" x14ac:dyDescent="0.2">
      <c r="A36" s="234" t="s">
        <v>848</v>
      </c>
    </row>
    <row r="37" spans="1:1" hidden="1" outlineLevel="1" x14ac:dyDescent="0.2">
      <c r="A37" s="234" t="s">
        <v>849</v>
      </c>
    </row>
    <row r="38" spans="1:1" hidden="1" outlineLevel="1" x14ac:dyDescent="0.2">
      <c r="A38" s="234"/>
    </row>
    <row r="39" spans="1:1" x14ac:dyDescent="0.2">
      <c r="A39" s="236" t="s">
        <v>850</v>
      </c>
    </row>
    <row r="40" spans="1:1" x14ac:dyDescent="0.2">
      <c r="A40" s="229"/>
    </row>
    <row r="41" spans="1:1" x14ac:dyDescent="0.2">
      <c r="A41" s="233" t="s">
        <v>851</v>
      </c>
    </row>
    <row r="42" spans="1:1" x14ac:dyDescent="0.2">
      <c r="A42" s="229"/>
    </row>
    <row r="43" spans="1:1" ht="25.5" x14ac:dyDescent="0.2">
      <c r="A43" s="237" t="s">
        <v>852</v>
      </c>
    </row>
    <row r="44" spans="1:1" collapsed="1" x14ac:dyDescent="0.2">
      <c r="A44" s="234" t="s">
        <v>853</v>
      </c>
    </row>
    <row r="45" spans="1:1" hidden="1" outlineLevel="1" x14ac:dyDescent="0.2">
      <c r="A45" s="238"/>
    </row>
    <row r="46" spans="1:1" ht="63.75" hidden="1" outlineLevel="1" x14ac:dyDescent="0.2">
      <c r="A46" s="239" t="s">
        <v>854</v>
      </c>
    </row>
    <row r="47" spans="1:1" ht="140.1" hidden="1" customHeight="1" outlineLevel="1" x14ac:dyDescent="0.2">
      <c r="A47" s="240"/>
    </row>
    <row r="48" spans="1:1" ht="89.25" hidden="1" outlineLevel="1" x14ac:dyDescent="0.2">
      <c r="A48" s="241" t="s">
        <v>855</v>
      </c>
    </row>
    <row r="49" spans="1:1" hidden="1" outlineLevel="1" x14ac:dyDescent="0.2">
      <c r="A49" s="241"/>
    </row>
    <row r="50" spans="1:1" ht="63.75" hidden="1" outlineLevel="1" x14ac:dyDescent="0.2">
      <c r="A50" s="242" t="s">
        <v>856</v>
      </c>
    </row>
    <row r="51" spans="1:1" x14ac:dyDescent="0.2">
      <c r="A51" s="229"/>
    </row>
    <row r="52" spans="1:1" x14ac:dyDescent="0.2">
      <c r="A52" s="240" t="s">
        <v>857</v>
      </c>
    </row>
    <row r="53" spans="1:1" x14ac:dyDescent="0.2">
      <c r="A53" s="231" t="s">
        <v>858</v>
      </c>
    </row>
    <row r="54" spans="1:1" x14ac:dyDescent="0.2">
      <c r="A54" s="231" t="s">
        <v>859</v>
      </c>
    </row>
    <row r="55" spans="1:1" x14ac:dyDescent="0.2">
      <c r="A55" s="243"/>
    </row>
    <row r="56" spans="1:1" x14ac:dyDescent="0.2">
      <c r="A56" s="244"/>
    </row>
    <row r="57" spans="1:1" x14ac:dyDescent="0.2">
      <c r="A57" s="245"/>
    </row>
    <row r="58" spans="1:1" ht="15.75" x14ac:dyDescent="0.2">
      <c r="A58" s="246" t="s">
        <v>860</v>
      </c>
    </row>
    <row r="60" spans="1:1" s="248" customFormat="1" ht="51" x14ac:dyDescent="0.2">
      <c r="A60" s="247" t="s">
        <v>861</v>
      </c>
    </row>
    <row r="61" spans="1:1" s="248" customFormat="1" x14ac:dyDescent="0.2">
      <c r="A61" s="247"/>
    </row>
    <row r="62" spans="1:1" s="248" customFormat="1" x14ac:dyDescent="0.2">
      <c r="A62" s="249" t="s">
        <v>862</v>
      </c>
    </row>
    <row r="63" spans="1:1" s="248" customFormat="1" x14ac:dyDescent="0.2">
      <c r="A63" s="247"/>
    </row>
    <row r="64" spans="1:1" s="248" customFormat="1" x14ac:dyDescent="0.2">
      <c r="A64" s="247" t="s">
        <v>863</v>
      </c>
    </row>
    <row r="65" spans="1:1" s="248" customFormat="1" x14ac:dyDescent="0.2">
      <c r="A65" s="247"/>
    </row>
    <row r="66" spans="1:1" s="248" customFormat="1" ht="25.5" x14ac:dyDescent="0.2">
      <c r="A66" s="250" t="s">
        <v>864</v>
      </c>
    </row>
    <row r="67" spans="1:1" s="248" customFormat="1" x14ac:dyDescent="0.2">
      <c r="A67" s="250"/>
    </row>
    <row r="68" spans="1:1" s="248" customFormat="1" x14ac:dyDescent="0.2">
      <c r="A68" s="250" t="s">
        <v>865</v>
      </c>
    </row>
    <row r="69" spans="1:1" s="248" customFormat="1" x14ac:dyDescent="0.2">
      <c r="A69" s="250"/>
    </row>
    <row r="70" spans="1:1" s="248" customFormat="1" x14ac:dyDescent="0.2">
      <c r="A70" s="250" t="s">
        <v>866</v>
      </c>
    </row>
    <row r="71" spans="1:1" s="248" customFormat="1" x14ac:dyDescent="0.2">
      <c r="A71" s="250"/>
    </row>
    <row r="72" spans="1:1" s="248" customFormat="1" ht="25.5" x14ac:dyDescent="0.2">
      <c r="A72" s="250" t="s">
        <v>867</v>
      </c>
    </row>
    <row r="73" spans="1:1" s="248" customFormat="1" x14ac:dyDescent="0.2">
      <c r="A73" s="250"/>
    </row>
    <row r="74" spans="1:1" s="248" customFormat="1" x14ac:dyDescent="0.2">
      <c r="A74" s="250" t="s">
        <v>868</v>
      </c>
    </row>
    <row r="75" spans="1:1" s="248" customFormat="1" x14ac:dyDescent="0.2">
      <c r="A75" s="250"/>
    </row>
    <row r="76" spans="1:1" s="248" customFormat="1" ht="25.5" x14ac:dyDescent="0.2">
      <c r="A76" s="247" t="s">
        <v>869</v>
      </c>
    </row>
    <row r="77" spans="1:1" s="248" customFormat="1" x14ac:dyDescent="0.2">
      <c r="A77" s="247"/>
    </row>
    <row r="78" spans="1:1" s="248" customFormat="1" x14ac:dyDescent="0.2">
      <c r="A78" s="249" t="s">
        <v>870</v>
      </c>
    </row>
    <row r="79" spans="1:1" s="248" customFormat="1" x14ac:dyDescent="0.2">
      <c r="A79" s="247"/>
    </row>
    <row r="80" spans="1:1" s="248" customFormat="1" x14ac:dyDescent="0.2">
      <c r="A80" s="247" t="s">
        <v>871</v>
      </c>
    </row>
    <row r="81" spans="1:1" s="248" customFormat="1" x14ac:dyDescent="0.2">
      <c r="A81" s="247"/>
    </row>
    <row r="82" spans="1:1" s="248" customFormat="1" x14ac:dyDescent="0.2">
      <c r="A82" s="250" t="s">
        <v>872</v>
      </c>
    </row>
    <row r="83" spans="1:1" s="248" customFormat="1" x14ac:dyDescent="0.2">
      <c r="A83" s="250"/>
    </row>
    <row r="84" spans="1:1" s="248" customFormat="1" x14ac:dyDescent="0.2">
      <c r="A84" s="250" t="s">
        <v>873</v>
      </c>
    </row>
    <row r="85" spans="1:1" s="248" customFormat="1" x14ac:dyDescent="0.2">
      <c r="A85" s="250"/>
    </row>
    <row r="86" spans="1:1" s="248" customFormat="1" x14ac:dyDescent="0.2">
      <c r="A86" s="250" t="s">
        <v>874</v>
      </c>
    </row>
    <row r="87" spans="1:1" s="248" customFormat="1" x14ac:dyDescent="0.2">
      <c r="A87" s="250"/>
    </row>
    <row r="88" spans="1:1" s="248" customFormat="1" ht="25.5" x14ac:dyDescent="0.2">
      <c r="A88" s="250" t="s">
        <v>875</v>
      </c>
    </row>
    <row r="89" spans="1:1" s="248" customFormat="1" x14ac:dyDescent="0.2">
      <c r="A89" s="250"/>
    </row>
    <row r="90" spans="1:1" s="248" customFormat="1" x14ac:dyDescent="0.2">
      <c r="A90" s="250" t="s">
        <v>876</v>
      </c>
    </row>
    <row r="91" spans="1:1" s="248" customFormat="1" x14ac:dyDescent="0.2">
      <c r="A91" s="247"/>
    </row>
    <row r="92" spans="1:1" s="248" customFormat="1" x14ac:dyDescent="0.2">
      <c r="A92" s="249" t="s">
        <v>877</v>
      </c>
    </row>
    <row r="93" spans="1:1" s="248" customFormat="1" x14ac:dyDescent="0.2">
      <c r="A93" s="247"/>
    </row>
    <row r="94" spans="1:1" s="248" customFormat="1" ht="25.5" x14ac:dyDescent="0.2">
      <c r="A94" s="247" t="s">
        <v>878</v>
      </c>
    </row>
    <row r="95" spans="1:1" s="248" customFormat="1" x14ac:dyDescent="0.2">
      <c r="A95" s="247"/>
    </row>
    <row r="96" spans="1:1" s="248" customFormat="1" x14ac:dyDescent="0.2">
      <c r="A96" s="249" t="s">
        <v>879</v>
      </c>
    </row>
    <row r="97" spans="1:1" s="248" customFormat="1" x14ac:dyDescent="0.2">
      <c r="A97" s="247"/>
    </row>
    <row r="98" spans="1:1" s="248" customFormat="1" x14ac:dyDescent="0.2">
      <c r="A98" s="247" t="s">
        <v>880</v>
      </c>
    </row>
    <row r="99" spans="1:1" s="248" customFormat="1" x14ac:dyDescent="0.2">
      <c r="A99" s="247"/>
    </row>
    <row r="100" spans="1:1" s="248" customFormat="1" x14ac:dyDescent="0.2">
      <c r="A100" s="250" t="s">
        <v>881</v>
      </c>
    </row>
    <row r="101" spans="1:1" s="248" customFormat="1" x14ac:dyDescent="0.2">
      <c r="A101" s="250"/>
    </row>
    <row r="102" spans="1:1" s="248" customFormat="1" ht="25.5" x14ac:dyDescent="0.2">
      <c r="A102" s="250" t="s">
        <v>882</v>
      </c>
    </row>
    <row r="103" spans="1:1" s="248" customFormat="1" x14ac:dyDescent="0.2">
      <c r="A103" s="250"/>
    </row>
    <row r="104" spans="1:1" s="248" customFormat="1" x14ac:dyDescent="0.2">
      <c r="A104" s="250" t="s">
        <v>883</v>
      </c>
    </row>
    <row r="105" spans="1:1" s="248" customFormat="1" x14ac:dyDescent="0.2">
      <c r="A105" s="250"/>
    </row>
    <row r="106" spans="1:1" s="248" customFormat="1" ht="25.5" x14ac:dyDescent="0.2">
      <c r="A106" s="250" t="s">
        <v>884</v>
      </c>
    </row>
    <row r="107" spans="1:1" s="248" customFormat="1" x14ac:dyDescent="0.2">
      <c r="A107" s="251"/>
    </row>
    <row r="108" spans="1:1" s="248" customFormat="1" x14ac:dyDescent="0.2">
      <c r="A108" s="250" t="s">
        <v>885</v>
      </c>
    </row>
    <row r="109" spans="1:1" s="248" customFormat="1" x14ac:dyDescent="0.2">
      <c r="A109" s="250"/>
    </row>
    <row r="110" spans="1:1" s="248" customFormat="1" x14ac:dyDescent="0.2">
      <c r="A110" s="252" t="s">
        <v>886</v>
      </c>
    </row>
    <row r="111" spans="1:1" s="248" customFormat="1" x14ac:dyDescent="0.2">
      <c r="A111" s="252"/>
    </row>
    <row r="112" spans="1:1" s="248" customFormat="1" ht="38.25" x14ac:dyDescent="0.2">
      <c r="A112" s="252" t="s">
        <v>887</v>
      </c>
    </row>
    <row r="113" spans="1:1" s="248" customFormat="1" x14ac:dyDescent="0.2">
      <c r="A113" s="247"/>
    </row>
    <row r="114" spans="1:1" s="248" customFormat="1" x14ac:dyDescent="0.2">
      <c r="A114" s="249" t="s">
        <v>888</v>
      </c>
    </row>
    <row r="115" spans="1:1" s="248" customFormat="1" x14ac:dyDescent="0.2">
      <c r="A115" s="247"/>
    </row>
    <row r="116" spans="1:1" s="248" customFormat="1" x14ac:dyDescent="0.2">
      <c r="A116" s="253" t="s">
        <v>889</v>
      </c>
    </row>
    <row r="117" spans="1:1" s="248" customFormat="1" x14ac:dyDescent="0.2">
      <c r="A117" s="247"/>
    </row>
    <row r="118" spans="1:1" s="248" customFormat="1" x14ac:dyDescent="0.2">
      <c r="A118" s="250" t="s">
        <v>890</v>
      </c>
    </row>
    <row r="119" spans="1:1" s="248" customFormat="1" x14ac:dyDescent="0.2">
      <c r="A119" s="250"/>
    </row>
    <row r="120" spans="1:1" s="248" customFormat="1" ht="25.5" x14ac:dyDescent="0.2">
      <c r="A120" s="250" t="s">
        <v>891</v>
      </c>
    </row>
    <row r="121" spans="1:1" s="248" customFormat="1" x14ac:dyDescent="0.2">
      <c r="A121" s="250"/>
    </row>
    <row r="122" spans="1:1" s="248" customFormat="1" x14ac:dyDescent="0.2">
      <c r="A122" s="250" t="s">
        <v>892</v>
      </c>
    </row>
    <row r="123" spans="1:1" s="248" customFormat="1" x14ac:dyDescent="0.2">
      <c r="A123" s="247"/>
    </row>
    <row r="124" spans="1:1" s="248" customFormat="1" x14ac:dyDescent="0.2">
      <c r="A124" s="252" t="s">
        <v>893</v>
      </c>
    </row>
    <row r="126" spans="1:1" x14ac:dyDescent="0.2">
      <c r="A126" s="244"/>
    </row>
    <row r="127" spans="1:1" x14ac:dyDescent="0.2">
      <c r="A127" s="254"/>
    </row>
    <row r="128" spans="1:1" ht="15.75" x14ac:dyDescent="0.2">
      <c r="A128" s="246" t="s">
        <v>894</v>
      </c>
    </row>
    <row r="130" spans="1:1" s="248" customFormat="1" x14ac:dyDescent="0.2">
      <c r="A130" s="233" t="s">
        <v>895</v>
      </c>
    </row>
    <row r="131" spans="1:1" s="248" customFormat="1" x14ac:dyDescent="0.2">
      <c r="A131" s="254"/>
    </row>
    <row r="132" spans="1:1" s="248" customFormat="1" x14ac:dyDescent="0.2">
      <c r="A132" s="254" t="s">
        <v>896</v>
      </c>
    </row>
    <row r="133" spans="1:1" s="248" customFormat="1" ht="25.5" x14ac:dyDescent="0.2">
      <c r="A133" s="250" t="s">
        <v>897</v>
      </c>
    </row>
    <row r="134" spans="1:1" s="248" customFormat="1" ht="38.25" x14ac:dyDescent="0.2">
      <c r="A134" s="250" t="s">
        <v>898</v>
      </c>
    </row>
    <row r="135" spans="1:1" s="248" customFormat="1" x14ac:dyDescent="0.2">
      <c r="A135" s="250" t="s">
        <v>899</v>
      </c>
    </row>
    <row r="136" spans="1:1" s="248" customFormat="1" ht="25.5" x14ac:dyDescent="0.2">
      <c r="A136" s="250" t="s">
        <v>900</v>
      </c>
    </row>
    <row r="137" spans="1:1" s="248" customFormat="1" ht="38.25" x14ac:dyDescent="0.2">
      <c r="A137" s="250" t="s">
        <v>901</v>
      </c>
    </row>
    <row r="138" spans="1:1" s="248" customFormat="1" x14ac:dyDescent="0.2">
      <c r="A138" s="247"/>
    </row>
    <row r="139" spans="1:1" s="248" customFormat="1" x14ac:dyDescent="0.2">
      <c r="A139" s="233" t="s">
        <v>902</v>
      </c>
    </row>
    <row r="140" spans="1:1" s="248" customFormat="1" x14ac:dyDescent="0.2">
      <c r="A140" s="247"/>
    </row>
    <row r="141" spans="1:1" s="248" customFormat="1" ht="25.5" x14ac:dyDescent="0.2">
      <c r="A141" s="252" t="s">
        <v>903</v>
      </c>
    </row>
    <row r="142" spans="1:1" s="248" customFormat="1" x14ac:dyDescent="0.2">
      <c r="A142" s="255" t="s">
        <v>904</v>
      </c>
    </row>
    <row r="143" spans="1:1" s="248" customFormat="1" x14ac:dyDescent="0.2">
      <c r="A143" s="255" t="s">
        <v>905</v>
      </c>
    </row>
    <row r="144" spans="1:1" s="248" customFormat="1" x14ac:dyDescent="0.2">
      <c r="A144" s="255" t="s">
        <v>906</v>
      </c>
    </row>
    <row r="145" spans="1:1" s="248" customFormat="1" x14ac:dyDescent="0.2">
      <c r="A145" s="255" t="s">
        <v>907</v>
      </c>
    </row>
    <row r="146" spans="1:1" s="248" customFormat="1" x14ac:dyDescent="0.2">
      <c r="A146" s="255" t="s">
        <v>908</v>
      </c>
    </row>
    <row r="147" spans="1:1" s="248" customFormat="1" x14ac:dyDescent="0.2">
      <c r="A147" s="255"/>
    </row>
    <row r="148" spans="1:1" s="248" customFormat="1" ht="38.25" x14ac:dyDescent="0.2">
      <c r="A148" s="256" t="s">
        <v>909</v>
      </c>
    </row>
    <row r="149" spans="1:1" s="248" customFormat="1" x14ac:dyDescent="0.2">
      <c r="A149" s="247"/>
    </row>
    <row r="150" spans="1:1" s="248" customFormat="1" x14ac:dyDescent="0.2">
      <c r="A150" s="233" t="s">
        <v>910</v>
      </c>
    </row>
    <row r="151" spans="1:1" s="248" customFormat="1" x14ac:dyDescent="0.2">
      <c r="A151" s="247"/>
    </row>
    <row r="152" spans="1:1" s="248" customFormat="1" x14ac:dyDescent="0.2">
      <c r="A152" s="247" t="s">
        <v>911</v>
      </c>
    </row>
    <row r="153" spans="1:1" s="248" customFormat="1" x14ac:dyDescent="0.2">
      <c r="A153" s="250" t="s">
        <v>912</v>
      </c>
    </row>
    <row r="154" spans="1:1" s="248" customFormat="1" x14ac:dyDescent="0.2">
      <c r="A154" s="250" t="s">
        <v>913</v>
      </c>
    </row>
    <row r="155" spans="1:1" s="248" customFormat="1" x14ac:dyDescent="0.2">
      <c r="A155" s="250" t="s">
        <v>914</v>
      </c>
    </row>
    <row r="156" spans="1:1" s="248" customFormat="1" x14ac:dyDescent="0.2">
      <c r="A156" s="250" t="s">
        <v>915</v>
      </c>
    </row>
    <row r="157" spans="1:1" s="248" customFormat="1" x14ac:dyDescent="0.2">
      <c r="A157" s="235" t="s">
        <v>916</v>
      </c>
    </row>
    <row r="158" spans="1:1" s="248" customFormat="1" ht="25.5" x14ac:dyDescent="0.2">
      <c r="A158" s="235" t="s">
        <v>917</v>
      </c>
    </row>
    <row r="159" spans="1:1" s="248" customFormat="1" x14ac:dyDescent="0.2">
      <c r="A159" s="250" t="s">
        <v>918</v>
      </c>
    </row>
    <row r="160" spans="1:1" s="248" customFormat="1" ht="25.5" x14ac:dyDescent="0.2">
      <c r="A160" s="247" t="s">
        <v>919</v>
      </c>
    </row>
    <row r="162" spans="1:1" s="248" customFormat="1" ht="15" x14ac:dyDescent="0.2">
      <c r="A162" s="257" t="s">
        <v>923</v>
      </c>
    </row>
    <row r="163" spans="1:1" s="248" customFormat="1" x14ac:dyDescent="0.2">
      <c r="A163" s="247"/>
    </row>
    <row r="164" spans="1:1" s="248" customFormat="1" ht="25.5" x14ac:dyDescent="0.2">
      <c r="A164" s="247" t="s">
        <v>924</v>
      </c>
    </row>
    <row r="165" spans="1:1" s="248" customFormat="1" x14ac:dyDescent="0.2">
      <c r="A165" s="258" t="s">
        <v>925</v>
      </c>
    </row>
    <row r="166" spans="1:1" s="248" customFormat="1" x14ac:dyDescent="0.2">
      <c r="A166" s="247" t="s">
        <v>926</v>
      </c>
    </row>
    <row r="167" spans="1:1" s="248" customFormat="1" x14ac:dyDescent="0.2">
      <c r="A167" s="259" t="s">
        <v>927</v>
      </c>
    </row>
    <row r="168" spans="1:1" s="248" customFormat="1" x14ac:dyDescent="0.2">
      <c r="A168" s="247"/>
    </row>
    <row r="169" spans="1:1" s="248" customFormat="1" x14ac:dyDescent="0.2">
      <c r="A169" s="247"/>
    </row>
    <row r="170" spans="1:1" x14ac:dyDescent="0.2">
      <c r="A170" s="230" t="s">
        <v>920</v>
      </c>
    </row>
    <row r="172" spans="1:1" x14ac:dyDescent="0.2">
      <c r="A172" s="230" t="s">
        <v>921</v>
      </c>
    </row>
    <row r="173" spans="1:1" x14ac:dyDescent="0.2">
      <c r="A173" s="230" t="s">
        <v>922</v>
      </c>
    </row>
  </sheetData>
  <hyperlinks>
    <hyperlink ref="A53" r:id="rId1"/>
    <hyperlink ref="A54" r:id="rId2"/>
    <hyperlink ref="A32" r:id="rId3"/>
    <hyperlink ref="A39" r:id="rId4"/>
    <hyperlink ref="A9" r:id="rId5"/>
    <hyperlink ref="A165" r:id="rId6"/>
    <hyperlink ref="A167" r:id="rId7"/>
  </hyperlinks>
  <printOptions horizontalCentered="1"/>
  <pageMargins left="0.45" right="0.45" top="0.5" bottom="0.5" header="0.3" footer="0.3"/>
  <pageSetup orientation="portrait" r:id="rId8"/>
  <headerFooter>
    <oddFooter>&amp;LModelSheet is a trademark of ModelSheet Software, LLC&amp;Rpage &amp;P of &amp;N</oddFooter>
  </headerFooter>
  <drawing r:id="rId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E85"/>
  <sheetViews>
    <sheetView zoomScaleNormal="100" workbookViewId="0"/>
  </sheetViews>
  <sheetFormatPr defaultRowHeight="12.75" customHeight="1" outlineLevelRow="1" x14ac:dyDescent="0.2"/>
  <cols>
    <col min="1" max="1" width="21.140625" customWidth="1"/>
    <col min="2" max="2" width="12.140625" customWidth="1"/>
    <col min="3" max="3" width="14" customWidth="1"/>
    <col min="4" max="4" width="9.5703125" customWidth="1"/>
    <col min="5" max="5" width="10" customWidth="1"/>
  </cols>
  <sheetData>
    <row r="1" spans="1:5" ht="12.75" customHeight="1" x14ac:dyDescent="0.2">
      <c r="A1" s="261" t="str">
        <f>"Capitalization Table"</f>
        <v>Capitalization Table</v>
      </c>
      <c r="B1" s="261"/>
      <c r="C1" s="261"/>
      <c r="D1" s="261"/>
    </row>
    <row r="2" spans="1:5" ht="12.75" customHeight="1" x14ac:dyDescent="0.2">
      <c r="A2" s="261" t="str">
        <f>Inputs!B8</f>
        <v>ABC Corp.</v>
      </c>
      <c r="B2" s="261"/>
      <c r="C2" s="261"/>
      <c r="D2" s="261"/>
    </row>
    <row r="3" spans="1:5" ht="12.75" customHeight="1" x14ac:dyDescent="0.2">
      <c r="A3" s="261" t="str">
        <f>IF("Payout"="(Default Input)","Ignore this sheet in normal use.","Investment Scenario "&amp;1&amp;", Valuation Scenario "&amp;1)</f>
        <v>Investment Scenario 1, Valuation Scenario 1</v>
      </c>
      <c r="B3" s="261"/>
      <c r="C3" s="261"/>
      <c r="D3" s="261"/>
    </row>
    <row r="4" spans="1:5" ht="12.75" customHeight="1" x14ac:dyDescent="0.2">
      <c r="A4" s="261" t="str">
        <f>"Payout"</f>
        <v>Payout</v>
      </c>
      <c r="B4" s="261"/>
      <c r="C4" s="261"/>
      <c r="D4" s="261"/>
    </row>
    <row r="5" spans="1:5" ht="12.75" customHeight="1" x14ac:dyDescent="0.2">
      <c r="A5" s="261" t="str">
        <f>""</f>
        <v/>
      </c>
      <c r="B5" s="261"/>
      <c r="C5" s="261"/>
      <c r="D5" s="261"/>
    </row>
    <row r="6" spans="1:5" ht="12.75" customHeight="1" x14ac:dyDescent="0.2">
      <c r="B6" s="6" t="str">
        <f>Labels!B64</f>
        <v>Payout Pool</v>
      </c>
      <c r="C6" s="7" t="str">
        <f>Labels!B49</f>
        <v>Liq Preference</v>
      </c>
      <c r="D6" s="7" t="str">
        <f>Labels!B61</f>
        <v>Payout</v>
      </c>
      <c r="E6" s="8" t="str">
        <f>Labels!B62</f>
        <v>Payout %</v>
      </c>
    </row>
    <row r="7" spans="1:5" ht="12.75" customHeight="1" x14ac:dyDescent="0.2">
      <c r="A7" s="11" t="str">
        <f>Labels!B103</f>
        <v>Conv Note</v>
      </c>
      <c r="B7" s="26"/>
      <c r="C7" s="26"/>
      <c r="D7" s="26"/>
      <c r="E7" s="106"/>
    </row>
    <row r="8" spans="1:5" ht="12.75" customHeight="1" x14ac:dyDescent="0.2">
      <c r="A8" s="28" t="str">
        <f>"   "&amp;Labels!B104</f>
        <v xml:space="preserve">   Series B</v>
      </c>
      <c r="B8" s="70">
        <f>D27</f>
        <v>1000000</v>
      </c>
      <c r="C8" s="70">
        <f>D75</f>
        <v>0</v>
      </c>
      <c r="D8" s="70">
        <f>D43</f>
        <v>0</v>
      </c>
      <c r="E8" s="107">
        <f>D59</f>
        <v>0</v>
      </c>
    </row>
    <row r="9" spans="1:5" ht="12.75" customHeight="1" x14ac:dyDescent="0.2">
      <c r="A9" s="28" t="str">
        <f>"   "&amp;Labels!B105</f>
        <v xml:space="preserve">   Series A</v>
      </c>
      <c r="B9" s="70">
        <f>D28</f>
        <v>1000000</v>
      </c>
      <c r="C9" s="70">
        <f>D76</f>
        <v>0</v>
      </c>
      <c r="D9" s="70">
        <f>D44</f>
        <v>0</v>
      </c>
      <c r="E9" s="107">
        <f>D60</f>
        <v>0</v>
      </c>
    </row>
    <row r="10" spans="1:5" ht="12.75" customHeight="1" x14ac:dyDescent="0.2">
      <c r="A10" s="73" t="str">
        <f>"   "&amp;Labels!C103</f>
        <v xml:space="preserve">   Subtotal</v>
      </c>
      <c r="B10" s="74" t="str">
        <f>""</f>
        <v/>
      </c>
      <c r="C10" s="74">
        <f>SUM(C8:C9)</f>
        <v>0</v>
      </c>
      <c r="D10" s="74">
        <f>D45</f>
        <v>0</v>
      </c>
      <c r="E10" s="143">
        <f>D61</f>
        <v>0</v>
      </c>
    </row>
    <row r="11" spans="1:5" ht="12.75" customHeight="1" x14ac:dyDescent="0.2">
      <c r="A11" s="73" t="str">
        <f>Labels!B106</f>
        <v>Preferred</v>
      </c>
      <c r="B11" s="74"/>
      <c r="C11" s="74"/>
      <c r="D11" s="74"/>
      <c r="E11" s="143"/>
    </row>
    <row r="12" spans="1:5" ht="12.75" customHeight="1" x14ac:dyDescent="0.2">
      <c r="A12" s="28" t="str">
        <f>"   "&amp;Labels!B107</f>
        <v xml:space="preserve">   Series A</v>
      </c>
      <c r="B12" s="70">
        <f>D31</f>
        <v>1000000</v>
      </c>
      <c r="C12" s="70">
        <f>D81</f>
        <v>0</v>
      </c>
      <c r="D12" s="70">
        <f>D47</f>
        <v>0</v>
      </c>
      <c r="E12" s="107">
        <f>D63</f>
        <v>0</v>
      </c>
    </row>
    <row r="13" spans="1:5" ht="12.75" customHeight="1" x14ac:dyDescent="0.2">
      <c r="A13" s="73" t="str">
        <f>"   "&amp;Labels!C106</f>
        <v xml:space="preserve">   Subtotal</v>
      </c>
      <c r="B13" s="74" t="str">
        <f>""</f>
        <v/>
      </c>
      <c r="C13" s="74">
        <f>C12</f>
        <v>0</v>
      </c>
      <c r="D13" s="74">
        <f>D48</f>
        <v>0</v>
      </c>
      <c r="E13" s="143">
        <f>D64</f>
        <v>0</v>
      </c>
    </row>
    <row r="14" spans="1:5" ht="12.75" customHeight="1" x14ac:dyDescent="0.2">
      <c r="A14" s="73" t="str">
        <f>Labels!B108</f>
        <v>Common</v>
      </c>
      <c r="B14" s="74">
        <f>D33</f>
        <v>1000000</v>
      </c>
      <c r="C14" s="74">
        <f>'(Other Variables)'!D204</f>
        <v>0</v>
      </c>
      <c r="D14" s="74">
        <f>D49</f>
        <v>1000000</v>
      </c>
      <c r="E14" s="143">
        <f>D65</f>
        <v>1</v>
      </c>
    </row>
    <row r="15" spans="1:5" ht="12.75" customHeight="1" x14ac:dyDescent="0.2">
      <c r="A15" s="73" t="str">
        <f>Labels!B109</f>
        <v>Warrant</v>
      </c>
      <c r="B15" s="74">
        <v>0</v>
      </c>
      <c r="C15" s="74">
        <f>'(Other Variables)'!D205</f>
        <v>0</v>
      </c>
      <c r="D15" s="74">
        <f>D50</f>
        <v>0</v>
      </c>
      <c r="E15" s="143">
        <f>D66</f>
        <v>0</v>
      </c>
    </row>
    <row r="16" spans="1:5" ht="12.75" customHeight="1" x14ac:dyDescent="0.2">
      <c r="A16" s="73" t="str">
        <f>Labels!B110</f>
        <v>Option</v>
      </c>
      <c r="B16" s="74"/>
      <c r="C16" s="74"/>
      <c r="D16" s="74"/>
      <c r="E16" s="143"/>
    </row>
    <row r="17" spans="1:5" ht="12.75" customHeight="1" x14ac:dyDescent="0.2">
      <c r="A17" s="28" t="str">
        <f>"   "&amp;Labels!B111</f>
        <v xml:space="preserve">   Series B</v>
      </c>
      <c r="B17" s="70">
        <f>0/2</f>
        <v>0</v>
      </c>
      <c r="C17" s="70">
        <f>'(Other Variables)'!D207</f>
        <v>0</v>
      </c>
      <c r="D17" s="70">
        <f>D52</f>
        <v>0</v>
      </c>
      <c r="E17" s="107">
        <f>D68</f>
        <v>0</v>
      </c>
    </row>
    <row r="18" spans="1:5" ht="12.75" customHeight="1" x14ac:dyDescent="0.2">
      <c r="A18" s="28" t="str">
        <f>"   "&amp;Labels!B112</f>
        <v xml:space="preserve">   Series A</v>
      </c>
      <c r="B18" s="70">
        <f>0/2</f>
        <v>0</v>
      </c>
      <c r="C18" s="70">
        <f>'(Other Variables)'!D208</f>
        <v>0</v>
      </c>
      <c r="D18" s="70">
        <f>D53</f>
        <v>0</v>
      </c>
      <c r="E18" s="107">
        <f>D69</f>
        <v>0</v>
      </c>
    </row>
    <row r="19" spans="1:5" ht="12.75" customHeight="1" x14ac:dyDescent="0.2">
      <c r="A19" s="73" t="str">
        <f>"   "&amp;Labels!C110</f>
        <v xml:space="preserve">   Subtotal</v>
      </c>
      <c r="B19" s="74" t="str">
        <f>""</f>
        <v/>
      </c>
      <c r="C19" s="74">
        <f>SUM(C17:C18)</f>
        <v>0</v>
      </c>
      <c r="D19" s="74">
        <f>D54</f>
        <v>0</v>
      </c>
      <c r="E19" s="143">
        <f>D70</f>
        <v>0</v>
      </c>
    </row>
    <row r="20" spans="1:5" ht="12.75" customHeight="1" x14ac:dyDescent="0.2">
      <c r="A20" s="4" t="str">
        <f>Labels!C102</f>
        <v>Total</v>
      </c>
      <c r="B20" s="77" t="str">
        <f>""</f>
        <v/>
      </c>
      <c r="C20" s="77">
        <f>SUM(C10,C13:C15,C19)</f>
        <v>0</v>
      </c>
      <c r="D20" s="77">
        <f>D55</f>
        <v>1000000</v>
      </c>
      <c r="E20" s="144">
        <f>D71</f>
        <v>1</v>
      </c>
    </row>
    <row r="22" spans="1:5" ht="12.75" customHeight="1" x14ac:dyDescent="0.2">
      <c r="A22" s="2" t="str">
        <f>"Payout Details"</f>
        <v>Payout Details</v>
      </c>
    </row>
    <row r="23" spans="1:5" ht="12.75" hidden="1" customHeight="1" outlineLevel="1" x14ac:dyDescent="0.2">
      <c r="A23" s="1" t="str">
        <f>" "</f>
        <v xml:space="preserve"> </v>
      </c>
    </row>
    <row r="24" spans="1:5" ht="12.75" hidden="1" customHeight="1" outlineLevel="1" x14ac:dyDescent="0.2">
      <c r="B24" s="6" t="str">
        <f>Labels!B98</f>
        <v>Seed</v>
      </c>
      <c r="C24" s="7" t="str">
        <f>Labels!B99</f>
        <v>Round A</v>
      </c>
      <c r="D24" s="7" t="str">
        <f>Labels!B100</f>
        <v>Exit</v>
      </c>
      <c r="E24" s="25" t="str">
        <f>Labels!C97</f>
        <v>Total</v>
      </c>
    </row>
    <row r="25" spans="1:5" ht="12.75" hidden="1" customHeight="1" outlineLevel="1" x14ac:dyDescent="0.2">
      <c r="A25" s="11" t="str">
        <f>Labels!B63</f>
        <v>Payout Pool</v>
      </c>
      <c r="B25" s="26"/>
      <c r="C25" s="26"/>
      <c r="D25" s="26"/>
      <c r="E25" s="27"/>
    </row>
    <row r="26" spans="1:5" ht="12.75" hidden="1" customHeight="1" outlineLevel="1" x14ac:dyDescent="0.2">
      <c r="A26" s="28" t="str">
        <f>"   "&amp;Labels!B103</f>
        <v xml:space="preserve">   Conv Note</v>
      </c>
      <c r="B26" s="70"/>
      <c r="C26" s="70"/>
      <c r="D26" s="70"/>
      <c r="E26" s="30"/>
    </row>
    <row r="27" spans="1:5" ht="12.75" hidden="1" customHeight="1" outlineLevel="1" x14ac:dyDescent="0.2">
      <c r="A27" s="89" t="str">
        <f>"      "&amp;Labels!B104</f>
        <v xml:space="preserve">      Series B</v>
      </c>
      <c r="B27" s="91">
        <f>'Plot Support'!B50+Investment!B241+'(Other Variables)'!B93</f>
        <v>1000001</v>
      </c>
      <c r="C27" s="91">
        <f>'Plot Support'!B51+Investment!C241+'(Other Variables)'!C93</f>
        <v>1000000</v>
      </c>
      <c r="D27" s="91">
        <f>'Plot Support'!B52+Investment!D241+'(Other Variables)'!D93</f>
        <v>1000000</v>
      </c>
      <c r="E27" s="30" t="str">
        <f>""</f>
        <v/>
      </c>
    </row>
    <row r="28" spans="1:5" ht="12.75" hidden="1" customHeight="1" outlineLevel="1" x14ac:dyDescent="0.2">
      <c r="A28" s="89" t="str">
        <f>"      "&amp;Labels!B105</f>
        <v xml:space="preserve">      Series A</v>
      </c>
      <c r="B28" s="91">
        <f>B27-B43</f>
        <v>1000001</v>
      </c>
      <c r="C28" s="91">
        <f>C27-C43</f>
        <v>1000000</v>
      </c>
      <c r="D28" s="91">
        <f>D27-D43</f>
        <v>1000000</v>
      </c>
      <c r="E28" s="30" t="str">
        <f>""</f>
        <v/>
      </c>
    </row>
    <row r="29" spans="1:5" ht="12.75" hidden="1" customHeight="1" outlineLevel="1" x14ac:dyDescent="0.2">
      <c r="A29" s="28" t="str">
        <f>"      "&amp;Labels!C103</f>
        <v xml:space="preserve">      Subtotal</v>
      </c>
      <c r="B29" s="70" t="str">
        <f>""</f>
        <v/>
      </c>
      <c r="C29" s="70" t="str">
        <f>""</f>
        <v/>
      </c>
      <c r="D29" s="70" t="str">
        <f>""</f>
        <v/>
      </c>
      <c r="E29" s="30" t="str">
        <f>""</f>
        <v/>
      </c>
    </row>
    <row r="30" spans="1:5" ht="12.75" hidden="1" customHeight="1" outlineLevel="1" x14ac:dyDescent="0.2">
      <c r="A30" s="28" t="str">
        <f>"   "&amp;Labels!B106</f>
        <v xml:space="preserve">   Preferred</v>
      </c>
      <c r="B30" s="70"/>
      <c r="C30" s="70"/>
      <c r="D30" s="70"/>
      <c r="E30" s="30"/>
    </row>
    <row r="31" spans="1:5" ht="12.75" hidden="1" customHeight="1" outlineLevel="1" x14ac:dyDescent="0.2">
      <c r="A31" s="89" t="str">
        <f>"      "&amp;Labels!B107</f>
        <v xml:space="preserve">      Series A</v>
      </c>
      <c r="B31" s="91">
        <f>B28-B44</f>
        <v>1000001</v>
      </c>
      <c r="C31" s="91">
        <f>C28-C44</f>
        <v>1000000</v>
      </c>
      <c r="D31" s="91">
        <f>D28-D44</f>
        <v>1000000</v>
      </c>
      <c r="E31" s="30" t="str">
        <f>""</f>
        <v/>
      </c>
    </row>
    <row r="32" spans="1:5" ht="12.75" hidden="1" customHeight="1" outlineLevel="1" x14ac:dyDescent="0.2">
      <c r="A32" s="28" t="str">
        <f>"      "&amp;Labels!C106</f>
        <v xml:space="preserve">      Subtotal</v>
      </c>
      <c r="B32" s="70" t="str">
        <f>""</f>
        <v/>
      </c>
      <c r="C32" s="70" t="str">
        <f>""</f>
        <v/>
      </c>
      <c r="D32" s="70" t="str">
        <f>""</f>
        <v/>
      </c>
      <c r="E32" s="30" t="str">
        <f>""</f>
        <v/>
      </c>
    </row>
    <row r="33" spans="1:5" ht="12.75" hidden="1" customHeight="1" outlineLevel="1" x14ac:dyDescent="0.2">
      <c r="A33" s="28" t="str">
        <f>"   "&amp;Labels!B108</f>
        <v xml:space="preserve">   Common</v>
      </c>
      <c r="B33" s="70">
        <f>B31-B47</f>
        <v>1000001</v>
      </c>
      <c r="C33" s="70">
        <f>C31-C47</f>
        <v>1000000</v>
      </c>
      <c r="D33" s="70">
        <f>D31-D47</f>
        <v>1000000</v>
      </c>
      <c r="E33" s="30" t="str">
        <f>""</f>
        <v/>
      </c>
    </row>
    <row r="34" spans="1:5" ht="12.75" hidden="1" customHeight="1" outlineLevel="1" x14ac:dyDescent="0.2">
      <c r="A34" s="28" t="str">
        <f>"   "&amp;Labels!B109</f>
        <v xml:space="preserve">   Warrant</v>
      </c>
      <c r="B34" s="70">
        <f>0/3</f>
        <v>0</v>
      </c>
      <c r="C34" s="70">
        <f>0/3</f>
        <v>0</v>
      </c>
      <c r="D34" s="70">
        <f>0/3</f>
        <v>0</v>
      </c>
      <c r="E34" s="30" t="str">
        <f>""</f>
        <v/>
      </c>
    </row>
    <row r="35" spans="1:5" ht="12.75" hidden="1" customHeight="1" outlineLevel="1" x14ac:dyDescent="0.2">
      <c r="A35" s="28" t="str">
        <f>"   "&amp;Labels!B110</f>
        <v xml:space="preserve">   Option</v>
      </c>
      <c r="B35" s="70"/>
      <c r="C35" s="70"/>
      <c r="D35" s="70"/>
      <c r="E35" s="30"/>
    </row>
    <row r="36" spans="1:5" ht="12.75" hidden="1" customHeight="1" outlineLevel="1" x14ac:dyDescent="0.2">
      <c r="A36" s="89" t="str">
        <f>"      "&amp;Labels!B111</f>
        <v xml:space="preserve">      Series B</v>
      </c>
      <c r="B36" s="91">
        <f t="shared" ref="B36:D37" si="0">0/3/2</f>
        <v>0</v>
      </c>
      <c r="C36" s="91">
        <f t="shared" si="0"/>
        <v>0</v>
      </c>
      <c r="D36" s="91">
        <f t="shared" si="0"/>
        <v>0</v>
      </c>
      <c r="E36" s="30" t="str">
        <f>""</f>
        <v/>
      </c>
    </row>
    <row r="37" spans="1:5" ht="12.75" hidden="1" customHeight="1" outlineLevel="1" x14ac:dyDescent="0.2">
      <c r="A37" s="89" t="str">
        <f>"      "&amp;Labels!B112</f>
        <v xml:space="preserve">      Series A</v>
      </c>
      <c r="B37" s="91">
        <f t="shared" si="0"/>
        <v>0</v>
      </c>
      <c r="C37" s="91">
        <f t="shared" si="0"/>
        <v>0</v>
      </c>
      <c r="D37" s="91">
        <f t="shared" si="0"/>
        <v>0</v>
      </c>
      <c r="E37" s="30" t="str">
        <f>""</f>
        <v/>
      </c>
    </row>
    <row r="38" spans="1:5" ht="12.75" hidden="1" customHeight="1" outlineLevel="1" x14ac:dyDescent="0.2">
      <c r="A38" s="28" t="str">
        <f>"      "&amp;Labels!C110</f>
        <v xml:space="preserve">      Subtotal</v>
      </c>
      <c r="B38" s="70" t="str">
        <f>""</f>
        <v/>
      </c>
      <c r="C38" s="70" t="str">
        <f>""</f>
        <v/>
      </c>
      <c r="D38" s="70" t="str">
        <f>""</f>
        <v/>
      </c>
      <c r="E38" s="30" t="str">
        <f>""</f>
        <v/>
      </c>
    </row>
    <row r="39" spans="1:5" ht="12.75" hidden="1" customHeight="1" outlineLevel="1" x14ac:dyDescent="0.2">
      <c r="A39" s="73" t="str">
        <f>"   "&amp;Labels!C102</f>
        <v xml:space="preserve">   Total</v>
      </c>
      <c r="B39" s="74" t="str">
        <f>""</f>
        <v/>
      </c>
      <c r="C39" s="74" t="str">
        <f>""</f>
        <v/>
      </c>
      <c r="D39" s="74" t="str">
        <f>""</f>
        <v/>
      </c>
      <c r="E39" s="30" t="str">
        <f>""</f>
        <v/>
      </c>
    </row>
    <row r="40" spans="1:5" ht="12.75" hidden="1" customHeight="1" outlineLevel="1" x14ac:dyDescent="0.2">
      <c r="A40" s="4"/>
      <c r="B40" s="92"/>
      <c r="C40" s="92"/>
      <c r="D40" s="92"/>
      <c r="E40" s="4"/>
    </row>
    <row r="41" spans="1:5" ht="12.75" hidden="1" customHeight="1" outlineLevel="1" x14ac:dyDescent="0.2">
      <c r="A41" s="73" t="str">
        <f>Labels!B59</f>
        <v>Payout</v>
      </c>
      <c r="B41" s="74"/>
      <c r="C41" s="74"/>
      <c r="D41" s="74"/>
      <c r="E41" s="30"/>
    </row>
    <row r="42" spans="1:5" ht="12.75" hidden="1" customHeight="1" outlineLevel="1" x14ac:dyDescent="0.2">
      <c r="A42" s="28" t="str">
        <f>"   "&amp;Labels!B103</f>
        <v xml:space="preserve">   Conv Note</v>
      </c>
      <c r="B42" s="70"/>
      <c r="C42" s="70"/>
      <c r="D42" s="70"/>
      <c r="E42" s="30"/>
    </row>
    <row r="43" spans="1:5" ht="12.75" hidden="1" customHeight="1" outlineLevel="1" x14ac:dyDescent="0.2">
      <c r="A43" s="89" t="str">
        <f>"      "&amp;Labels!B104</f>
        <v xml:space="preserve">      Series B</v>
      </c>
      <c r="B43" s="91">
        <f>MIN(B27,MAX(B75,Investment!B274/Prices!B30*'(Other Variables)'!B181))</f>
        <v>0</v>
      </c>
      <c r="C43" s="91">
        <f>MIN(C27,MAX(C75,Investment!C274/Prices!C30*'(Other Variables)'!C181))</f>
        <v>0</v>
      </c>
      <c r="D43" s="91">
        <f>MIN(D27,MAX(D75,Investment!D274/Prices!D30*'(Other Variables)'!D181))</f>
        <v>0</v>
      </c>
      <c r="E43" s="30" t="str">
        <f>""</f>
        <v/>
      </c>
    </row>
    <row r="44" spans="1:5" ht="12.75" hidden="1" customHeight="1" outlineLevel="1" x14ac:dyDescent="0.2">
      <c r="A44" s="89" t="str">
        <f>"      "&amp;Labels!B105</f>
        <v xml:space="preserve">      Series A</v>
      </c>
      <c r="B44" s="91">
        <f>MIN(B28,MAX(B76,Investment!B275/Prices!B31*'(Other Variables)'!B181))</f>
        <v>0</v>
      </c>
      <c r="C44" s="91">
        <f>MIN(C28,MAX(C76,Investment!C275/Prices!C31*'(Other Variables)'!C181))</f>
        <v>0</v>
      </c>
      <c r="D44" s="91">
        <f>MIN(D28,MAX(D76,Investment!D275/Prices!D31*'(Other Variables)'!D181))</f>
        <v>0</v>
      </c>
      <c r="E44" s="30" t="str">
        <f>""</f>
        <v/>
      </c>
    </row>
    <row r="45" spans="1:5" ht="12.75" hidden="1" customHeight="1" outlineLevel="1" x14ac:dyDescent="0.2">
      <c r="A45" s="28" t="str">
        <f>"      "&amp;Labels!C103</f>
        <v xml:space="preserve">      Subtotal</v>
      </c>
      <c r="B45" s="70">
        <f>SUM(B43:B44)</f>
        <v>0</v>
      </c>
      <c r="C45" s="70">
        <f>SUM(C43:C44)</f>
        <v>0</v>
      </c>
      <c r="D45" s="70">
        <f>SUM(D43:D44)</f>
        <v>0</v>
      </c>
      <c r="E45" s="30" t="str">
        <f>""</f>
        <v/>
      </c>
    </row>
    <row r="46" spans="1:5" ht="12.75" hidden="1" customHeight="1" outlineLevel="1" x14ac:dyDescent="0.2">
      <c r="A46" s="28" t="str">
        <f>"   "&amp;Labels!B106</f>
        <v xml:space="preserve">   Preferred</v>
      </c>
      <c r="B46" s="70"/>
      <c r="C46" s="70"/>
      <c r="D46" s="70"/>
      <c r="E46" s="30"/>
    </row>
    <row r="47" spans="1:5" ht="12.75" hidden="1" customHeight="1" outlineLevel="1" x14ac:dyDescent="0.2">
      <c r="A47" s="89" t="str">
        <f>"      "&amp;Labels!B107</f>
        <v xml:space="preserve">      Series A</v>
      </c>
      <c r="B47" s="91">
        <f>MIN(B31,MAX(B81,Shares!B34*'(Other Variables)'!B181))</f>
        <v>0</v>
      </c>
      <c r="C47" s="91">
        <f>MIN(C31,MAX(C81,Shares!C34*'(Other Variables)'!C181))</f>
        <v>0</v>
      </c>
      <c r="D47" s="91">
        <f>MIN(D31,MAX(D81,Shares!D34*'(Other Variables)'!D181))</f>
        <v>0</v>
      </c>
      <c r="E47" s="30" t="str">
        <f>""</f>
        <v/>
      </c>
    </row>
    <row r="48" spans="1:5" ht="12.75" hidden="1" customHeight="1" outlineLevel="1" x14ac:dyDescent="0.2">
      <c r="A48" s="28" t="str">
        <f>"      "&amp;Labels!C106</f>
        <v xml:space="preserve">      Subtotal</v>
      </c>
      <c r="B48" s="70">
        <f>SUM(B47)</f>
        <v>0</v>
      </c>
      <c r="C48" s="70">
        <f>SUM(C47)</f>
        <v>0</v>
      </c>
      <c r="D48" s="70">
        <f>SUM(D47)</f>
        <v>0</v>
      </c>
      <c r="E48" s="30" t="str">
        <f>""</f>
        <v/>
      </c>
    </row>
    <row r="49" spans="1:5" ht="12.75" hidden="1" customHeight="1" outlineLevel="1" x14ac:dyDescent="0.2">
      <c r="A49" s="28" t="str">
        <f>"   "&amp;Labels!B108</f>
        <v xml:space="preserve">   Common</v>
      </c>
      <c r="B49" s="70">
        <f>Shares!B36*B33/(Shares!B36+'(Other Variables)'!B302)</f>
        <v>1000001</v>
      </c>
      <c r="C49" s="70">
        <f>Shares!C36*C33/(Shares!C36+'(Other Variables)'!C302)</f>
        <v>1000000</v>
      </c>
      <c r="D49" s="70">
        <f>Shares!D36*D33/(Shares!D36+'(Other Variables)'!D302)</f>
        <v>1000000</v>
      </c>
      <c r="E49" s="30" t="str">
        <f>""</f>
        <v/>
      </c>
    </row>
    <row r="50" spans="1:5" ht="12.75" hidden="1" customHeight="1" outlineLevel="1" x14ac:dyDescent="0.2">
      <c r="A50" s="28" t="str">
        <f>"   "&amp;Labels!B109</f>
        <v xml:space="preserve">   Warrant</v>
      </c>
      <c r="B50" s="70">
        <f>Options!B19/(Shares!B36+'(Other Variables)'!B302)*B33</f>
        <v>0</v>
      </c>
      <c r="C50" s="70">
        <f>Options!C19/(Shares!C36+'(Other Variables)'!C302)*C33</f>
        <v>0</v>
      </c>
      <c r="D50" s="70">
        <f>Options!D19/(Shares!D36+'(Other Variables)'!D302)*D33</f>
        <v>0</v>
      </c>
      <c r="E50" s="30" t="str">
        <f>""</f>
        <v/>
      </c>
    </row>
    <row r="51" spans="1:5" ht="12.75" hidden="1" customHeight="1" outlineLevel="1" x14ac:dyDescent="0.2">
      <c r="A51" s="28" t="str">
        <f>"   "&amp;Labels!B110</f>
        <v xml:space="preserve">   Option</v>
      </c>
      <c r="B51" s="70"/>
      <c r="C51" s="70"/>
      <c r="D51" s="70"/>
      <c r="E51" s="30"/>
    </row>
    <row r="52" spans="1:5" ht="12.75" hidden="1" customHeight="1" outlineLevel="1" x14ac:dyDescent="0.2">
      <c r="A52" s="89" t="str">
        <f>"      "&amp;Labels!B111</f>
        <v xml:space="preserve">      Series B</v>
      </c>
      <c r="B52" s="91">
        <f>Options!B48/(Shares!B36+'(Other Variables)'!B302)*B33</f>
        <v>0</v>
      </c>
      <c r="C52" s="91">
        <f>Options!C48/(Shares!C36+'(Other Variables)'!C302)*C33</f>
        <v>0</v>
      </c>
      <c r="D52" s="91">
        <f>Options!D48/(Shares!D36+'(Other Variables)'!D302)*D33</f>
        <v>0</v>
      </c>
      <c r="E52" s="30" t="str">
        <f>""</f>
        <v/>
      </c>
    </row>
    <row r="53" spans="1:5" ht="12.75" hidden="1" customHeight="1" outlineLevel="1" x14ac:dyDescent="0.2">
      <c r="A53" s="89" t="str">
        <f>"      "&amp;Labels!B112</f>
        <v xml:space="preserve">      Series A</v>
      </c>
      <c r="B53" s="91">
        <f>Options!B49/(Shares!B36+'(Other Variables)'!B302)*B33</f>
        <v>0</v>
      </c>
      <c r="C53" s="91">
        <f>Options!C49/(Shares!C36+'(Other Variables)'!C302)*C33</f>
        <v>0</v>
      </c>
      <c r="D53" s="91">
        <f>Options!D49/(Shares!D36+'(Other Variables)'!D302)*D33</f>
        <v>0</v>
      </c>
      <c r="E53" s="30" t="str">
        <f>""</f>
        <v/>
      </c>
    </row>
    <row r="54" spans="1:5" ht="12.75" hidden="1" customHeight="1" outlineLevel="1" x14ac:dyDescent="0.2">
      <c r="A54" s="28" t="str">
        <f>"      "&amp;Labels!C110</f>
        <v xml:space="preserve">      Subtotal</v>
      </c>
      <c r="B54" s="70">
        <f>SUM(B52:B53)</f>
        <v>0</v>
      </c>
      <c r="C54" s="70">
        <f>SUM(C52:C53)</f>
        <v>0</v>
      </c>
      <c r="D54" s="70">
        <f>SUM(D52:D53)</f>
        <v>0</v>
      </c>
      <c r="E54" s="30" t="str">
        <f>""</f>
        <v/>
      </c>
    </row>
    <row r="55" spans="1:5" ht="12.75" hidden="1" customHeight="1" outlineLevel="1" x14ac:dyDescent="0.2">
      <c r="A55" s="73" t="str">
        <f>"   "&amp;Labels!C102</f>
        <v xml:space="preserve">   Total</v>
      </c>
      <c r="B55" s="74">
        <f>SUM(B45,B48:B50,B54)</f>
        <v>1000001</v>
      </c>
      <c r="C55" s="74">
        <f>SUM(C45,C48:C50,C54)</f>
        <v>1000000</v>
      </c>
      <c r="D55" s="74">
        <f>SUM(D45,D48:D50,D54)</f>
        <v>1000000</v>
      </c>
      <c r="E55" s="30" t="str">
        <f>""</f>
        <v/>
      </c>
    </row>
    <row r="56" spans="1:5" ht="12.75" hidden="1" customHeight="1" outlineLevel="1" x14ac:dyDescent="0.2">
      <c r="A56" s="4"/>
      <c r="B56" s="92"/>
      <c r="C56" s="92"/>
      <c r="D56" s="92"/>
      <c r="E56" s="4"/>
    </row>
    <row r="57" spans="1:5" ht="12.75" hidden="1" customHeight="1" outlineLevel="1" x14ac:dyDescent="0.2">
      <c r="A57" s="73" t="str">
        <f>Labels!B60</f>
        <v>Payout %</v>
      </c>
      <c r="B57" s="75"/>
      <c r="C57" s="75"/>
      <c r="D57" s="75"/>
      <c r="E57" s="145"/>
    </row>
    <row r="58" spans="1:5" ht="12.75" hidden="1" customHeight="1" outlineLevel="1" x14ac:dyDescent="0.2">
      <c r="A58" s="28" t="str">
        <f>"   "&amp;Labels!B103</f>
        <v xml:space="preserve">   Conv Note</v>
      </c>
      <c r="B58" s="71"/>
      <c r="C58" s="71"/>
      <c r="D58" s="71"/>
      <c r="E58" s="145"/>
    </row>
    <row r="59" spans="1:5" ht="12.75" hidden="1" customHeight="1" outlineLevel="1" x14ac:dyDescent="0.2">
      <c r="A59" s="89" t="str">
        <f>"      "&amp;Labels!B104</f>
        <v xml:space="preserve">      Series B</v>
      </c>
      <c r="B59" s="146">
        <f>B43/B55</f>
        <v>0</v>
      </c>
      <c r="C59" s="146">
        <f>C43/C55</f>
        <v>0</v>
      </c>
      <c r="D59" s="146">
        <f>D43/D55</f>
        <v>0</v>
      </c>
      <c r="E59" s="145" t="str">
        <f>""</f>
        <v/>
      </c>
    </row>
    <row r="60" spans="1:5" ht="12.75" hidden="1" customHeight="1" outlineLevel="1" x14ac:dyDescent="0.2">
      <c r="A60" s="89" t="str">
        <f>"      "&amp;Labels!B105</f>
        <v xml:space="preserve">      Series A</v>
      </c>
      <c r="B60" s="146">
        <f>B44/B55</f>
        <v>0</v>
      </c>
      <c r="C60" s="146">
        <f>C44/C55</f>
        <v>0</v>
      </c>
      <c r="D60" s="146">
        <f>D44/D55</f>
        <v>0</v>
      </c>
      <c r="E60" s="145" t="str">
        <f>""</f>
        <v/>
      </c>
    </row>
    <row r="61" spans="1:5" ht="12.75" hidden="1" customHeight="1" outlineLevel="1" x14ac:dyDescent="0.2">
      <c r="A61" s="28" t="str">
        <f>"      "&amp;Labels!C103</f>
        <v xml:space="preserve">      Subtotal</v>
      </c>
      <c r="B61" s="71">
        <f>B45/B55</f>
        <v>0</v>
      </c>
      <c r="C61" s="71">
        <f>C45/C55</f>
        <v>0</v>
      </c>
      <c r="D61" s="71">
        <f>D45/D55</f>
        <v>0</v>
      </c>
      <c r="E61" s="145" t="str">
        <f>""</f>
        <v/>
      </c>
    </row>
    <row r="62" spans="1:5" ht="12.75" hidden="1" customHeight="1" outlineLevel="1" x14ac:dyDescent="0.2">
      <c r="A62" s="28" t="str">
        <f>"   "&amp;Labels!B106</f>
        <v xml:space="preserve">   Preferred</v>
      </c>
      <c r="B62" s="71"/>
      <c r="C62" s="71"/>
      <c r="D62" s="71"/>
      <c r="E62" s="145"/>
    </row>
    <row r="63" spans="1:5" ht="12.75" hidden="1" customHeight="1" outlineLevel="1" x14ac:dyDescent="0.2">
      <c r="A63" s="89" t="str">
        <f>"      "&amp;Labels!B107</f>
        <v xml:space="preserve">      Series A</v>
      </c>
      <c r="B63" s="146">
        <f>B47/B55</f>
        <v>0</v>
      </c>
      <c r="C63" s="146">
        <f>C47/C55</f>
        <v>0</v>
      </c>
      <c r="D63" s="146">
        <f>D47/D55</f>
        <v>0</v>
      </c>
      <c r="E63" s="145" t="str">
        <f>""</f>
        <v/>
      </c>
    </row>
    <row r="64" spans="1:5" ht="12.75" hidden="1" customHeight="1" outlineLevel="1" x14ac:dyDescent="0.2">
      <c r="A64" s="28" t="str">
        <f>"      "&amp;Labels!C106</f>
        <v xml:space="preserve">      Subtotal</v>
      </c>
      <c r="B64" s="71">
        <f>B48/B55</f>
        <v>0</v>
      </c>
      <c r="C64" s="71">
        <f>C48/C55</f>
        <v>0</v>
      </c>
      <c r="D64" s="71">
        <f>D48/D55</f>
        <v>0</v>
      </c>
      <c r="E64" s="145" t="str">
        <f>""</f>
        <v/>
      </c>
    </row>
    <row r="65" spans="1:5" ht="12.75" hidden="1" customHeight="1" outlineLevel="1" x14ac:dyDescent="0.2">
      <c r="A65" s="28" t="str">
        <f>"   "&amp;Labels!B108</f>
        <v xml:space="preserve">   Common</v>
      </c>
      <c r="B65" s="71">
        <f>B49/B55</f>
        <v>1</v>
      </c>
      <c r="C65" s="71">
        <f>C49/C55</f>
        <v>1</v>
      </c>
      <c r="D65" s="71">
        <f>D49/D55</f>
        <v>1</v>
      </c>
      <c r="E65" s="145" t="str">
        <f>""</f>
        <v/>
      </c>
    </row>
    <row r="66" spans="1:5" ht="12.75" hidden="1" customHeight="1" outlineLevel="1" x14ac:dyDescent="0.2">
      <c r="A66" s="28" t="str">
        <f>"   "&amp;Labels!B109</f>
        <v xml:space="preserve">   Warrant</v>
      </c>
      <c r="B66" s="71">
        <f>B50/B55</f>
        <v>0</v>
      </c>
      <c r="C66" s="71">
        <f>C50/C55</f>
        <v>0</v>
      </c>
      <c r="D66" s="71">
        <f>D50/D55</f>
        <v>0</v>
      </c>
      <c r="E66" s="145" t="str">
        <f>""</f>
        <v/>
      </c>
    </row>
    <row r="67" spans="1:5" ht="12.75" hidden="1" customHeight="1" outlineLevel="1" x14ac:dyDescent="0.2">
      <c r="A67" s="28" t="str">
        <f>"   "&amp;Labels!B110</f>
        <v xml:space="preserve">   Option</v>
      </c>
      <c r="B67" s="71"/>
      <c r="C67" s="71"/>
      <c r="D67" s="71"/>
      <c r="E67" s="145"/>
    </row>
    <row r="68" spans="1:5" ht="12.75" hidden="1" customHeight="1" outlineLevel="1" x14ac:dyDescent="0.2">
      <c r="A68" s="89" t="str">
        <f>"      "&amp;Labels!B111</f>
        <v xml:space="preserve">      Series B</v>
      </c>
      <c r="B68" s="146">
        <f>B52/B55</f>
        <v>0</v>
      </c>
      <c r="C68" s="146">
        <f>C52/C55</f>
        <v>0</v>
      </c>
      <c r="D68" s="146">
        <f>D52/D55</f>
        <v>0</v>
      </c>
      <c r="E68" s="145" t="str">
        <f>""</f>
        <v/>
      </c>
    </row>
    <row r="69" spans="1:5" ht="12.75" hidden="1" customHeight="1" outlineLevel="1" x14ac:dyDescent="0.2">
      <c r="A69" s="89" t="str">
        <f>"      "&amp;Labels!B112</f>
        <v xml:space="preserve">      Series A</v>
      </c>
      <c r="B69" s="146">
        <f>B53/B55</f>
        <v>0</v>
      </c>
      <c r="C69" s="146">
        <f>C53/C55</f>
        <v>0</v>
      </c>
      <c r="D69" s="146">
        <f>D53/D55</f>
        <v>0</v>
      </c>
      <c r="E69" s="145" t="str">
        <f>""</f>
        <v/>
      </c>
    </row>
    <row r="70" spans="1:5" ht="12.75" hidden="1" customHeight="1" outlineLevel="1" x14ac:dyDescent="0.2">
      <c r="A70" s="28" t="str">
        <f>"      "&amp;Labels!C110</f>
        <v xml:space="preserve">      Subtotal</v>
      </c>
      <c r="B70" s="71">
        <f>B54/B55</f>
        <v>0</v>
      </c>
      <c r="C70" s="71">
        <f>C54/C55</f>
        <v>0</v>
      </c>
      <c r="D70" s="71">
        <f>D54/D55</f>
        <v>0</v>
      </c>
      <c r="E70" s="145" t="str">
        <f>""</f>
        <v/>
      </c>
    </row>
    <row r="71" spans="1:5" ht="12.75" hidden="1" customHeight="1" outlineLevel="1" x14ac:dyDescent="0.2">
      <c r="A71" s="15" t="str">
        <f>"   "&amp;Labels!C102</f>
        <v xml:space="preserve">   Total</v>
      </c>
      <c r="B71" s="147">
        <f>B55/B55</f>
        <v>1</v>
      </c>
      <c r="C71" s="147">
        <f>C55/C55</f>
        <v>1</v>
      </c>
      <c r="D71" s="147">
        <f>D55/D55</f>
        <v>1</v>
      </c>
      <c r="E71" s="148" t="str">
        <f>""</f>
        <v/>
      </c>
    </row>
    <row r="72" spans="1:5" ht="12.75" hidden="1" customHeight="1" outlineLevel="1" x14ac:dyDescent="0.2"/>
    <row r="73" spans="1:5" ht="12.75" hidden="1" customHeight="1" outlineLevel="1" x14ac:dyDescent="0.2">
      <c r="A73" s="263" t="str">
        <f>"Liquidation Preference - Notes"</f>
        <v>Liquidation Preference - Notes</v>
      </c>
      <c r="B73" s="263"/>
      <c r="C73" s="263"/>
    </row>
    <row r="74" spans="1:5" ht="12.75" hidden="1" customHeight="1" outlineLevel="1" x14ac:dyDescent="0.2">
      <c r="A74" s="11" t="str">
        <f>Labels!B48</f>
        <v>Liquidation Preference</v>
      </c>
      <c r="B74" s="26"/>
      <c r="C74" s="26"/>
      <c r="D74" s="26"/>
      <c r="E74" s="27"/>
    </row>
    <row r="75" spans="1:5" ht="12.75" hidden="1" customHeight="1" outlineLevel="1" x14ac:dyDescent="0.2">
      <c r="A75" s="28" t="str">
        <f>"   "&amp;Labels!B104</f>
        <v xml:space="preserve">   Series B</v>
      </c>
      <c r="B75" s="70">
        <f>MAX(0,0+(Investment!B290+Investment!B229-Investment!B259)*Inputs!C23)</f>
        <v>0</v>
      </c>
      <c r="C75" s="70">
        <f>MAX(0,B75+(Investment!C290+Investment!C229-Investment!C259)*Inputs!C23)</f>
        <v>0</v>
      </c>
      <c r="D75" s="70">
        <f>MAX(0,C75+(Investment!D290+Investment!D229-Investment!D259)*Inputs!C23)</f>
        <v>0</v>
      </c>
      <c r="E75" s="30">
        <f>SUM(B75:D75)</f>
        <v>0</v>
      </c>
    </row>
    <row r="76" spans="1:5" ht="12.75" hidden="1" customHeight="1" outlineLevel="1" x14ac:dyDescent="0.2">
      <c r="A76" s="28" t="str">
        <f>"   "&amp;Labels!B105</f>
        <v xml:space="preserve">   Series A</v>
      </c>
      <c r="B76" s="70">
        <f>MAX(0,0+(Investment!B291+Investment!B230-Investment!B260)*Inputs!C24)</f>
        <v>0</v>
      </c>
      <c r="C76" s="70">
        <f>MAX(0,B76+(Investment!C291+Investment!C230-Investment!C260)*Inputs!C24)</f>
        <v>0</v>
      </c>
      <c r="D76" s="70">
        <f>MAX(0,C76+(Investment!D291+Investment!D230-Investment!D260)*Inputs!C24)</f>
        <v>0</v>
      </c>
      <c r="E76" s="30">
        <f>SUM(B76:D76)</f>
        <v>0</v>
      </c>
    </row>
    <row r="77" spans="1:5" ht="12.75" hidden="1" customHeight="1" outlineLevel="1" x14ac:dyDescent="0.2">
      <c r="A77" s="15" t="str">
        <f>"   "&amp;Labels!C103</f>
        <v xml:space="preserve">   Subtotal</v>
      </c>
      <c r="B77" s="31">
        <f>SUM(B75:B76)</f>
        <v>0</v>
      </c>
      <c r="C77" s="31">
        <f>SUM(C75:C76)</f>
        <v>0</v>
      </c>
      <c r="D77" s="31">
        <f>SUM(D75:D76)</f>
        <v>0</v>
      </c>
      <c r="E77" s="32">
        <f>SUM(E75:E76)</f>
        <v>0</v>
      </c>
    </row>
    <row r="78" spans="1:5" ht="12.75" hidden="1" customHeight="1" outlineLevel="1" x14ac:dyDescent="0.2"/>
    <row r="79" spans="1:5" ht="12.75" hidden="1" customHeight="1" outlineLevel="1" x14ac:dyDescent="0.2">
      <c r="A79" s="263" t="str">
        <f>"Liquuidation Preference - Preferred"</f>
        <v>Liquuidation Preference - Preferred</v>
      </c>
      <c r="B79" s="263"/>
      <c r="C79" s="263"/>
    </row>
    <row r="80" spans="1:5" ht="12.75" hidden="1" customHeight="1" outlineLevel="1" x14ac:dyDescent="0.2">
      <c r="A80" s="11" t="str">
        <f>Labels!B48</f>
        <v>Liquidation Preference</v>
      </c>
      <c r="B80" s="26"/>
      <c r="C80" s="26"/>
      <c r="D80" s="26"/>
      <c r="E80" s="27"/>
    </row>
    <row r="81" spans="1:5" ht="12.75" hidden="1" customHeight="1" outlineLevel="1" x14ac:dyDescent="0.2">
      <c r="A81" s="28" t="str">
        <f>"   "&amp;Labels!B107</f>
        <v xml:space="preserve">   Series A</v>
      </c>
      <c r="B81" s="70">
        <f>MAX(0,0+(Investment!B294+Investment!B233-Investment!B263)*Inputs!B53)</f>
        <v>0</v>
      </c>
      <c r="C81" s="70">
        <f>MAX(0,B81+(Investment!C294+Investment!C233-Investment!C263)*Inputs!B53)</f>
        <v>0</v>
      </c>
      <c r="D81" s="70">
        <f>MAX(0,C81+(Investment!D294+Investment!D233-Investment!D263)*Inputs!B53)</f>
        <v>0</v>
      </c>
      <c r="E81" s="30">
        <f>SUM(B81:D81)</f>
        <v>0</v>
      </c>
    </row>
    <row r="82" spans="1:5" ht="12.75" hidden="1" customHeight="1" outlineLevel="1" x14ac:dyDescent="0.2">
      <c r="A82" s="15" t="str">
        <f>"   "&amp;Labels!C106</f>
        <v xml:space="preserve">   Subtotal</v>
      </c>
      <c r="B82" s="31">
        <f>B81</f>
        <v>0</v>
      </c>
      <c r="C82" s="31">
        <f>C81</f>
        <v>0</v>
      </c>
      <c r="D82" s="31">
        <f>D81</f>
        <v>0</v>
      </c>
      <c r="E82" s="32">
        <f>E81</f>
        <v>0</v>
      </c>
    </row>
    <row r="83" spans="1:5" ht="12.75" hidden="1" customHeight="1" outlineLevel="1" x14ac:dyDescent="0.2"/>
    <row r="84" spans="1:5" ht="12.75" hidden="1" customHeight="1" outlineLevel="1" collapsed="1" x14ac:dyDescent="0.2"/>
    <row r="85" spans="1:5" ht="12.75" customHeight="1" collapsed="1" x14ac:dyDescent="0.2"/>
  </sheetData>
  <mergeCells count="7">
    <mergeCell ref="A79:C79"/>
    <mergeCell ref="A1:D1"/>
    <mergeCell ref="A2:D2"/>
    <mergeCell ref="A3:D3"/>
    <mergeCell ref="A4:D4"/>
    <mergeCell ref="A5:D5"/>
    <mergeCell ref="A73:C73"/>
  </mergeCells>
  <pageMargins left="0.25" right="0.25" top="0.5" bottom="0.5" header="0.5" footer="0.5"/>
  <pageSetup paperSize="9" fitToHeight="32767" orientation="landscape"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E223"/>
  <sheetViews>
    <sheetView zoomScaleNormal="100" workbookViewId="0"/>
  </sheetViews>
  <sheetFormatPr defaultRowHeight="12.75" customHeight="1" x14ac:dyDescent="0.2"/>
  <cols>
    <col min="1" max="1" width="29.85546875" customWidth="1"/>
    <col min="2" max="2" width="27" customWidth="1"/>
    <col min="3" max="3" width="56.28515625" customWidth="1"/>
    <col min="4" max="4" width="8.7109375" customWidth="1"/>
    <col min="5" max="5" width="255.7109375" customWidth="1"/>
  </cols>
  <sheetData>
    <row r="1" spans="1:5" ht="12.75" customHeight="1" x14ac:dyDescent="0.2">
      <c r="A1" s="261" t="str">
        <f>"Capitalization Table"</f>
        <v>Capitalization Table</v>
      </c>
      <c r="B1" s="261"/>
      <c r="C1" s="261"/>
      <c r="D1" s="261"/>
    </row>
    <row r="2" spans="1:5" ht="12.75" customHeight="1" x14ac:dyDescent="0.2">
      <c r="A2" s="261" t="str">
        <f>Inputs!B8</f>
        <v>ABC Corp.</v>
      </c>
      <c r="B2" s="261"/>
      <c r="C2" s="261"/>
      <c r="D2" s="261"/>
    </row>
    <row r="3" spans="1:5" ht="12.75" customHeight="1" x14ac:dyDescent="0.2">
      <c r="A3" s="261" t="str">
        <f>IF("Formulas"="(Default Input)","Ignore this sheet in normal use.","Investment Scenario "&amp;1&amp;", Valuation Scenario "&amp;1)</f>
        <v>Investment Scenario 1, Valuation Scenario 1</v>
      </c>
      <c r="B3" s="261"/>
      <c r="C3" s="261"/>
      <c r="D3" s="261"/>
    </row>
    <row r="4" spans="1:5" ht="12.75" customHeight="1" x14ac:dyDescent="0.2">
      <c r="A4" s="261" t="str">
        <f>" "</f>
        <v xml:space="preserve"> </v>
      </c>
      <c r="B4" s="261"/>
      <c r="C4" s="261"/>
      <c r="D4" s="261"/>
    </row>
    <row r="5" spans="1:5" ht="12.75" customHeight="1" x14ac:dyDescent="0.2">
      <c r="A5" s="149" t="s">
        <v>421</v>
      </c>
      <c r="B5" s="149" t="s">
        <v>765</v>
      </c>
      <c r="C5" s="149" t="s">
        <v>20</v>
      </c>
      <c r="D5" s="149"/>
      <c r="E5" s="149" t="s">
        <v>676</v>
      </c>
    </row>
    <row r="6" spans="1:5" ht="12.75" customHeight="1" x14ac:dyDescent="0.2">
      <c r="A6" s="150" t="s">
        <v>139</v>
      </c>
      <c r="B6" s="150" t="str">
        <f>Labels!B5</f>
        <v>Company Name</v>
      </c>
      <c r="C6" s="151"/>
      <c r="D6" s="152"/>
      <c r="E6" s="153"/>
    </row>
    <row r="7" spans="1:5" ht="12.75" customHeight="1" x14ac:dyDescent="0.2">
      <c r="A7" s="92"/>
      <c r="B7" s="92"/>
      <c r="C7" s="154"/>
      <c r="D7" s="155"/>
      <c r="E7" s="92"/>
    </row>
    <row r="8" spans="1:5" ht="12.75" customHeight="1" x14ac:dyDescent="0.2">
      <c r="A8" s="150" t="s">
        <v>182</v>
      </c>
      <c r="B8" s="150" t="str">
        <f>Labels!B6</f>
        <v>Default Conversion Decisions</v>
      </c>
      <c r="C8" s="151" t="s">
        <v>135</v>
      </c>
      <c r="D8" s="152" t="s">
        <v>559</v>
      </c>
      <c r="E8" s="153" t="s">
        <v>750</v>
      </c>
    </row>
    <row r="9" spans="1:5" ht="12.75" customHeight="1" x14ac:dyDescent="0.2">
      <c r="A9" s="92"/>
      <c r="B9" s="92"/>
      <c r="C9" s="154"/>
      <c r="D9" s="155"/>
      <c r="E9" s="92"/>
    </row>
    <row r="10" spans="1:5" ht="12.75" customHeight="1" x14ac:dyDescent="0.2">
      <c r="A10" s="150" t="s">
        <v>361</v>
      </c>
      <c r="B10" s="150" t="str">
        <f>Labels!B7</f>
        <v>Conversion Decisions Detail</v>
      </c>
      <c r="C10" s="151" t="s">
        <v>311</v>
      </c>
      <c r="D10" s="152" t="s">
        <v>559</v>
      </c>
      <c r="E10" s="153" t="s">
        <v>375</v>
      </c>
    </row>
    <row r="11" spans="1:5" ht="12.75" customHeight="1" x14ac:dyDescent="0.2">
      <c r="A11" s="150"/>
      <c r="B11" s="150"/>
      <c r="C11" s="151" t="s">
        <v>556</v>
      </c>
      <c r="D11" s="152" t="s">
        <v>559</v>
      </c>
      <c r="E11" s="153" t="s">
        <v>227</v>
      </c>
    </row>
    <row r="12" spans="1:5" ht="12.75" customHeight="1" x14ac:dyDescent="0.2">
      <c r="A12" s="150"/>
      <c r="B12" s="150"/>
      <c r="C12" s="151" t="s">
        <v>235</v>
      </c>
      <c r="D12" s="152" t="s">
        <v>559</v>
      </c>
      <c r="E12" s="153" t="s">
        <v>302</v>
      </c>
    </row>
    <row r="13" spans="1:5" ht="12.75" customHeight="1" x14ac:dyDescent="0.2">
      <c r="A13" s="150"/>
      <c r="B13" s="150"/>
      <c r="C13" s="151" t="s">
        <v>433</v>
      </c>
      <c r="D13" s="152" t="s">
        <v>559</v>
      </c>
      <c r="E13" s="153" t="s">
        <v>166</v>
      </c>
    </row>
    <row r="14" spans="1:5" ht="12.75" customHeight="1" x14ac:dyDescent="0.2">
      <c r="A14" s="150"/>
      <c r="B14" s="150"/>
      <c r="C14" s="151" t="s">
        <v>439</v>
      </c>
      <c r="D14" s="152" t="s">
        <v>559</v>
      </c>
      <c r="E14" s="153" t="s">
        <v>375</v>
      </c>
    </row>
    <row r="15" spans="1:5" ht="12.75" customHeight="1" x14ac:dyDescent="0.2">
      <c r="A15" s="150"/>
      <c r="B15" s="150"/>
      <c r="C15" s="151" t="s">
        <v>193</v>
      </c>
      <c r="D15" s="152" t="s">
        <v>559</v>
      </c>
      <c r="E15" s="153" t="s">
        <v>166</v>
      </c>
    </row>
    <row r="16" spans="1:5" ht="12.75" customHeight="1" x14ac:dyDescent="0.2">
      <c r="A16" s="150"/>
      <c r="B16" s="150"/>
      <c r="C16" s="151" t="s">
        <v>271</v>
      </c>
      <c r="D16" s="152" t="s">
        <v>559</v>
      </c>
      <c r="E16" s="153" t="s">
        <v>31</v>
      </c>
    </row>
    <row r="17" spans="1:5" ht="12.75" customHeight="1" x14ac:dyDescent="0.2">
      <c r="A17" s="150"/>
      <c r="B17" s="150"/>
      <c r="C17" s="151" t="s">
        <v>637</v>
      </c>
      <c r="D17" s="152" t="s">
        <v>559</v>
      </c>
      <c r="E17" s="153" t="s">
        <v>366</v>
      </c>
    </row>
    <row r="18" spans="1:5" ht="12.75" customHeight="1" x14ac:dyDescent="0.2">
      <c r="A18" s="150"/>
      <c r="B18" s="150"/>
      <c r="C18" s="151" t="s">
        <v>562</v>
      </c>
      <c r="D18" s="152" t="s">
        <v>111</v>
      </c>
      <c r="E18" s="153" t="s">
        <v>218</v>
      </c>
    </row>
    <row r="19" spans="1:5" ht="12.75" customHeight="1" x14ac:dyDescent="0.2">
      <c r="A19" s="150"/>
      <c r="B19" s="150"/>
      <c r="C19" s="151" t="s">
        <v>408</v>
      </c>
      <c r="D19" s="152" t="s">
        <v>111</v>
      </c>
      <c r="E19" s="153" t="s">
        <v>205</v>
      </c>
    </row>
    <row r="20" spans="1:5" ht="12.75" customHeight="1" x14ac:dyDescent="0.2">
      <c r="A20" s="92"/>
      <c r="B20" s="92"/>
      <c r="C20" s="154"/>
      <c r="D20" s="155"/>
      <c r="E20" s="92"/>
    </row>
    <row r="21" spans="1:5" ht="12.75" customHeight="1" x14ac:dyDescent="0.2">
      <c r="A21" s="150" t="s">
        <v>89</v>
      </c>
      <c r="B21" s="150" t="str">
        <f>Labels!B8</f>
        <v>Liq Premium %</v>
      </c>
      <c r="C21" s="151"/>
      <c r="D21" s="152"/>
      <c r="E21" s="153"/>
    </row>
    <row r="22" spans="1:5" ht="12.75" customHeight="1" x14ac:dyDescent="0.2">
      <c r="A22" s="92"/>
      <c r="B22" s="92"/>
      <c r="C22" s="154"/>
      <c r="D22" s="155"/>
      <c r="E22" s="92"/>
    </row>
    <row r="23" spans="1:5" ht="12.75" customHeight="1" x14ac:dyDescent="0.2">
      <c r="A23" s="150" t="s">
        <v>484</v>
      </c>
      <c r="B23" s="150" t="str">
        <f>Labels!B9</f>
        <v>Trigger Date</v>
      </c>
      <c r="C23" s="151"/>
      <c r="D23" s="152"/>
      <c r="E23" s="153"/>
    </row>
    <row r="24" spans="1:5" ht="12.75" customHeight="1" x14ac:dyDescent="0.2">
      <c r="A24" s="92"/>
      <c r="B24" s="92"/>
      <c r="C24" s="154"/>
      <c r="D24" s="155"/>
      <c r="E24" s="92"/>
    </row>
    <row r="25" spans="1:5" ht="12.75" customHeight="1" x14ac:dyDescent="0.2">
      <c r="A25" s="150" t="s">
        <v>3</v>
      </c>
      <c r="B25" s="150" t="str">
        <f>Labels!B10</f>
        <v>Trigger Invest</v>
      </c>
      <c r="C25" s="151"/>
      <c r="D25" s="152"/>
      <c r="E25" s="153"/>
    </row>
    <row r="26" spans="1:5" ht="12.75" customHeight="1" x14ac:dyDescent="0.2">
      <c r="A26" s="92"/>
      <c r="B26" s="92"/>
      <c r="C26" s="154"/>
      <c r="D26" s="155"/>
      <c r="E26" s="92"/>
    </row>
    <row r="27" spans="1:5" ht="12.75" customHeight="1" x14ac:dyDescent="0.2">
      <c r="A27" s="150" t="s">
        <v>700</v>
      </c>
      <c r="B27" s="150" t="str">
        <f>Labels!B11</f>
        <v>Trigger Value %</v>
      </c>
      <c r="C27" s="151"/>
      <c r="D27" s="152"/>
      <c r="E27" s="153"/>
    </row>
    <row r="28" spans="1:5" ht="12.75" customHeight="1" x14ac:dyDescent="0.2">
      <c r="A28" s="92"/>
      <c r="B28" s="92"/>
      <c r="C28" s="154"/>
      <c r="D28" s="155"/>
      <c r="E28" s="92"/>
    </row>
    <row r="29" spans="1:5" ht="12.75" customHeight="1" x14ac:dyDescent="0.2">
      <c r="A29" s="150" t="s">
        <v>820</v>
      </c>
      <c r="B29" s="150" t="str">
        <f>Labels!B12</f>
        <v>% Converting</v>
      </c>
      <c r="C29" s="151" t="s">
        <v>135</v>
      </c>
      <c r="D29" s="152" t="s">
        <v>559</v>
      </c>
      <c r="E29" s="153" t="s">
        <v>182</v>
      </c>
    </row>
    <row r="30" spans="1:5" ht="12.75" customHeight="1" x14ac:dyDescent="0.2">
      <c r="A30" s="92"/>
      <c r="B30" s="92"/>
      <c r="C30" s="154"/>
      <c r="D30" s="155"/>
      <c r="E30" s="92"/>
    </row>
    <row r="31" spans="1:5" ht="12.75" customHeight="1" x14ac:dyDescent="0.2">
      <c r="A31" s="150" t="s">
        <v>784</v>
      </c>
      <c r="B31" s="150" t="str">
        <f>Labels!B13</f>
        <v>Conv Discount %</v>
      </c>
      <c r="C31" s="151"/>
      <c r="D31" s="152"/>
      <c r="E31" s="153"/>
    </row>
    <row r="32" spans="1:5" ht="12.75" customHeight="1" x14ac:dyDescent="0.2">
      <c r="A32" s="92"/>
      <c r="B32" s="92"/>
      <c r="C32" s="154"/>
      <c r="D32" s="155"/>
      <c r="E32" s="92"/>
    </row>
    <row r="33" spans="1:5" ht="12.75" customHeight="1" x14ac:dyDescent="0.2">
      <c r="A33" s="150" t="s">
        <v>468</v>
      </c>
      <c r="B33" s="150" t="str">
        <f>Labels!B14</f>
        <v>Discount Rate (Yr)</v>
      </c>
      <c r="C33" s="151" t="s">
        <v>72</v>
      </c>
      <c r="D33" s="152" t="s">
        <v>111</v>
      </c>
      <c r="E33" s="153" t="s">
        <v>661</v>
      </c>
    </row>
    <row r="34" spans="1:5" ht="12.75" customHeight="1" x14ac:dyDescent="0.2">
      <c r="A34" s="92"/>
      <c r="B34" s="92"/>
      <c r="C34" s="154"/>
      <c r="D34" s="155"/>
      <c r="E34" s="92"/>
    </row>
    <row r="35" spans="1:5" ht="12.75" customHeight="1" x14ac:dyDescent="0.2">
      <c r="A35" s="150" t="s">
        <v>573</v>
      </c>
      <c r="B35" s="150" t="str">
        <f>Labels!B15</f>
        <v>Dividend</v>
      </c>
      <c r="C35" s="151" t="s">
        <v>118</v>
      </c>
      <c r="D35" s="152" t="s">
        <v>559</v>
      </c>
      <c r="E35" s="153" t="s">
        <v>2</v>
      </c>
    </row>
    <row r="36" spans="1:5" ht="12.75" customHeight="1" x14ac:dyDescent="0.2">
      <c r="A36" s="150"/>
      <c r="B36" s="150"/>
      <c r="C36" s="151" t="s">
        <v>135</v>
      </c>
      <c r="D36" s="152" t="s">
        <v>559</v>
      </c>
      <c r="E36" s="153" t="s">
        <v>146</v>
      </c>
    </row>
    <row r="37" spans="1:5" ht="12.75" customHeight="1" x14ac:dyDescent="0.2">
      <c r="A37" s="92"/>
      <c r="B37" s="92"/>
      <c r="C37" s="154"/>
      <c r="D37" s="155"/>
      <c r="E37" s="92"/>
    </row>
    <row r="38" spans="1:5" ht="12.75" customHeight="1" x14ac:dyDescent="0.2">
      <c r="A38" s="150" t="s">
        <v>415</v>
      </c>
      <c r="B38" s="150" t="str">
        <f>Labels!B16</f>
        <v>Dividend by Origin</v>
      </c>
      <c r="C38" s="151" t="s">
        <v>118</v>
      </c>
      <c r="D38" s="152" t="s">
        <v>559</v>
      </c>
      <c r="E38" s="153" t="s">
        <v>367</v>
      </c>
    </row>
    <row r="39" spans="1:5" ht="12.75" customHeight="1" x14ac:dyDescent="0.2">
      <c r="A39" s="150"/>
      <c r="B39" s="150"/>
      <c r="C39" s="151" t="s">
        <v>135</v>
      </c>
      <c r="D39" s="152" t="s">
        <v>559</v>
      </c>
      <c r="E39" s="153" t="s">
        <v>58</v>
      </c>
    </row>
    <row r="40" spans="1:5" ht="12.75" customHeight="1" x14ac:dyDescent="0.2">
      <c r="A40" s="92"/>
      <c r="B40" s="92"/>
      <c r="C40" s="154"/>
      <c r="D40" s="155"/>
      <c r="E40" s="92"/>
    </row>
    <row r="41" spans="1:5" ht="12.75" customHeight="1" x14ac:dyDescent="0.2">
      <c r="A41" s="150" t="s">
        <v>411</v>
      </c>
      <c r="B41" s="150" t="str">
        <f>Labels!B17</f>
        <v>Dividend by Origin</v>
      </c>
      <c r="C41" s="151" t="s">
        <v>72</v>
      </c>
      <c r="D41" s="152" t="s">
        <v>559</v>
      </c>
      <c r="E41" s="153" t="s">
        <v>451</v>
      </c>
    </row>
    <row r="42" spans="1:5" ht="12.75" customHeight="1" x14ac:dyDescent="0.2">
      <c r="A42" s="92"/>
      <c r="B42" s="92"/>
      <c r="C42" s="154"/>
      <c r="D42" s="155"/>
      <c r="E42" s="92"/>
    </row>
    <row r="43" spans="1:5" ht="12.75" customHeight="1" x14ac:dyDescent="0.2">
      <c r="A43" s="150" t="s">
        <v>2</v>
      </c>
      <c r="B43" s="150" t="str">
        <f>Labels!B18</f>
        <v>Dividend Common</v>
      </c>
      <c r="C43" s="151"/>
      <c r="D43" s="152"/>
      <c r="E43" s="153"/>
    </row>
    <row r="44" spans="1:5" ht="12.75" customHeight="1" x14ac:dyDescent="0.2">
      <c r="A44" s="92"/>
      <c r="B44" s="92"/>
      <c r="C44" s="154"/>
      <c r="D44" s="155"/>
      <c r="E44" s="92"/>
    </row>
    <row r="45" spans="1:5" ht="12.75" customHeight="1" x14ac:dyDescent="0.2">
      <c r="A45" s="150" t="s">
        <v>606</v>
      </c>
      <c r="B45" s="150" t="str">
        <f>Labels!B19</f>
        <v>Dividend % (Yr)</v>
      </c>
      <c r="C45" s="151"/>
      <c r="D45" s="152"/>
      <c r="E45" s="153"/>
    </row>
    <row r="46" spans="1:5" ht="12.75" customHeight="1" x14ac:dyDescent="0.2">
      <c r="A46" s="92"/>
      <c r="B46" s="92"/>
      <c r="C46" s="154"/>
      <c r="D46" s="155"/>
      <c r="E46" s="92"/>
    </row>
    <row r="47" spans="1:5" ht="12.75" customHeight="1" x14ac:dyDescent="0.2">
      <c r="A47" s="150" t="s">
        <v>627</v>
      </c>
      <c r="B47" s="150" t="str">
        <f>Labels!B20</f>
        <v>Event Date</v>
      </c>
      <c r="C47" s="151" t="s">
        <v>734</v>
      </c>
      <c r="D47" s="152" t="s">
        <v>559</v>
      </c>
      <c r="E47" s="153" t="s">
        <v>49</v>
      </c>
    </row>
    <row r="48" spans="1:5" ht="12.75" customHeight="1" x14ac:dyDescent="0.2">
      <c r="A48" s="92"/>
      <c r="B48" s="92"/>
      <c r="C48" s="154"/>
      <c r="D48" s="155"/>
      <c r="E48" s="92"/>
    </row>
    <row r="49" spans="1:5" ht="12.75" customHeight="1" x14ac:dyDescent="0.2">
      <c r="A49" s="150" t="s">
        <v>49</v>
      </c>
      <c r="B49" s="150" t="str">
        <f>Labels!B21</f>
        <v>Event Date</v>
      </c>
      <c r="C49" s="151" t="s">
        <v>734</v>
      </c>
      <c r="D49" s="152" t="s">
        <v>559</v>
      </c>
      <c r="E49" s="153" t="s">
        <v>183</v>
      </c>
    </row>
    <row r="50" spans="1:5" ht="12.75" customHeight="1" x14ac:dyDescent="0.2">
      <c r="A50" s="92"/>
      <c r="B50" s="92"/>
      <c r="C50" s="154"/>
      <c r="D50" s="155"/>
      <c r="E50" s="92"/>
    </row>
    <row r="51" spans="1:5" ht="12.75" customHeight="1" x14ac:dyDescent="0.2">
      <c r="A51" s="150" t="s">
        <v>328</v>
      </c>
      <c r="B51" s="150" t="str">
        <f>Labels!B22</f>
        <v>Firm Value</v>
      </c>
      <c r="C51" s="151" t="s">
        <v>244</v>
      </c>
      <c r="D51" s="152" t="s">
        <v>559</v>
      </c>
      <c r="E51" s="153" t="s">
        <v>140</v>
      </c>
    </row>
    <row r="52" spans="1:5" ht="12.75" customHeight="1" x14ac:dyDescent="0.2">
      <c r="A52" s="150"/>
      <c r="B52" s="150"/>
      <c r="C52" s="151" t="s">
        <v>265</v>
      </c>
      <c r="D52" s="152" t="s">
        <v>559</v>
      </c>
      <c r="E52" s="153" t="s">
        <v>6</v>
      </c>
    </row>
    <row r="53" spans="1:5" ht="12.75" customHeight="1" x14ac:dyDescent="0.2">
      <c r="A53" s="150"/>
      <c r="B53" s="150"/>
      <c r="C53" s="151" t="s">
        <v>605</v>
      </c>
      <c r="D53" s="152" t="s">
        <v>559</v>
      </c>
      <c r="E53" s="153" t="s">
        <v>811</v>
      </c>
    </row>
    <row r="54" spans="1:5" ht="12.75" customHeight="1" x14ac:dyDescent="0.2">
      <c r="A54" s="150"/>
      <c r="B54" s="150"/>
      <c r="C54" s="151" t="s">
        <v>609</v>
      </c>
      <c r="D54" s="152" t="s">
        <v>559</v>
      </c>
      <c r="E54" s="153" t="s">
        <v>659</v>
      </c>
    </row>
    <row r="55" spans="1:5" ht="12.75" customHeight="1" x14ac:dyDescent="0.2">
      <c r="A55" s="150"/>
      <c r="B55" s="150"/>
      <c r="C55" s="151" t="s">
        <v>680</v>
      </c>
      <c r="D55" s="152" t="s">
        <v>559</v>
      </c>
      <c r="E55" s="153" t="s">
        <v>518</v>
      </c>
    </row>
    <row r="56" spans="1:5" ht="12.75" customHeight="1" x14ac:dyDescent="0.2">
      <c r="A56" s="92"/>
      <c r="B56" s="92"/>
      <c r="C56" s="154"/>
      <c r="D56" s="155"/>
      <c r="E56" s="92"/>
    </row>
    <row r="57" spans="1:5" ht="12.75" customHeight="1" x14ac:dyDescent="0.2">
      <c r="A57" s="150" t="s">
        <v>771</v>
      </c>
      <c r="B57" s="150" t="str">
        <f>Labels!B23</f>
        <v>Firm Value</v>
      </c>
      <c r="C57" s="151" t="s">
        <v>734</v>
      </c>
      <c r="D57" s="152" t="s">
        <v>559</v>
      </c>
      <c r="E57" s="153" t="s">
        <v>426</v>
      </c>
    </row>
    <row r="58" spans="1:5" ht="12.75" customHeight="1" x14ac:dyDescent="0.2">
      <c r="A58" s="92"/>
      <c r="B58" s="92"/>
      <c r="C58" s="154"/>
      <c r="D58" s="155"/>
      <c r="E58" s="92"/>
    </row>
    <row r="59" spans="1:5" ht="12.75" customHeight="1" x14ac:dyDescent="0.2">
      <c r="A59" s="150" t="s">
        <v>659</v>
      </c>
      <c r="B59" s="150" t="str">
        <f>Labels!B24</f>
        <v>Firm Value Start</v>
      </c>
      <c r="C59" s="151" t="s">
        <v>734</v>
      </c>
      <c r="D59" s="152" t="s">
        <v>559</v>
      </c>
      <c r="E59" s="153" t="s">
        <v>493</v>
      </c>
    </row>
    <row r="60" spans="1:5" ht="12.75" customHeight="1" x14ac:dyDescent="0.2">
      <c r="A60" s="92"/>
      <c r="B60" s="92"/>
      <c r="C60" s="154"/>
      <c r="D60" s="155"/>
      <c r="E60" s="92"/>
    </row>
    <row r="61" spans="1:5" ht="12.75" customHeight="1" x14ac:dyDescent="0.2">
      <c r="A61" s="150" t="s">
        <v>493</v>
      </c>
      <c r="B61" s="150" t="str">
        <f>Labels!B25</f>
        <v>Firm Value</v>
      </c>
      <c r="C61" s="151" t="s">
        <v>734</v>
      </c>
      <c r="D61" s="152" t="s">
        <v>559</v>
      </c>
      <c r="E61" s="153" t="s">
        <v>192</v>
      </c>
    </row>
    <row r="62" spans="1:5" ht="12.75" customHeight="1" x14ac:dyDescent="0.2">
      <c r="A62" s="92"/>
      <c r="B62" s="92"/>
      <c r="C62" s="154"/>
      <c r="D62" s="155"/>
      <c r="E62" s="92"/>
    </row>
    <row r="63" spans="1:5" ht="12.75" customHeight="1" x14ac:dyDescent="0.2">
      <c r="A63" s="150" t="s">
        <v>285</v>
      </c>
      <c r="B63" s="150" t="str">
        <f>Labels!B26</f>
        <v>Invest by Origin Common</v>
      </c>
      <c r="C63" s="151" t="s">
        <v>734</v>
      </c>
      <c r="D63" s="152" t="s">
        <v>559</v>
      </c>
      <c r="E63" s="153" t="s">
        <v>736</v>
      </c>
    </row>
    <row r="64" spans="1:5" ht="12.75" customHeight="1" x14ac:dyDescent="0.2">
      <c r="A64" s="92"/>
      <c r="B64" s="92"/>
      <c r="C64" s="154"/>
      <c r="D64" s="155"/>
      <c r="E64" s="92"/>
    </row>
    <row r="65" spans="1:5" ht="12.75" customHeight="1" x14ac:dyDescent="0.2">
      <c r="A65" s="150" t="s">
        <v>779</v>
      </c>
      <c r="B65" s="150" t="str">
        <f>Labels!B27</f>
        <v>Invest by Origin Conv Notes</v>
      </c>
      <c r="C65" s="151" t="s">
        <v>734</v>
      </c>
      <c r="D65" s="152" t="s">
        <v>559</v>
      </c>
      <c r="E65" s="153" t="s">
        <v>728</v>
      </c>
    </row>
    <row r="66" spans="1:5" ht="12.75" customHeight="1" x14ac:dyDescent="0.2">
      <c r="A66" s="92"/>
      <c r="B66" s="92"/>
      <c r="C66" s="154"/>
      <c r="D66" s="155"/>
      <c r="E66" s="92"/>
    </row>
    <row r="67" spans="1:5" ht="12.75" customHeight="1" x14ac:dyDescent="0.2">
      <c r="A67" s="150" t="s">
        <v>334</v>
      </c>
      <c r="B67" s="150" t="str">
        <f>Labels!B28</f>
        <v>Invest by Origin ex-Dividend</v>
      </c>
      <c r="C67" s="151" t="s">
        <v>369</v>
      </c>
      <c r="D67" s="152" t="s">
        <v>559</v>
      </c>
      <c r="E67" s="153" t="s">
        <v>336</v>
      </c>
    </row>
    <row r="68" spans="1:5" ht="12.75" customHeight="1" x14ac:dyDescent="0.2">
      <c r="A68" s="150"/>
      <c r="B68" s="150"/>
      <c r="C68" s="151" t="s">
        <v>574</v>
      </c>
      <c r="D68" s="152" t="s">
        <v>559</v>
      </c>
      <c r="E68" s="153" t="s">
        <v>101</v>
      </c>
    </row>
    <row r="69" spans="1:5" ht="12.75" customHeight="1" x14ac:dyDescent="0.2">
      <c r="A69" s="150"/>
      <c r="B69" s="150"/>
      <c r="C69" s="151" t="s">
        <v>615</v>
      </c>
      <c r="D69" s="152" t="s">
        <v>559</v>
      </c>
      <c r="E69" s="153" t="s">
        <v>336</v>
      </c>
    </row>
    <row r="70" spans="1:5" ht="12.75" customHeight="1" x14ac:dyDescent="0.2">
      <c r="A70" s="150"/>
      <c r="B70" s="150"/>
      <c r="C70" s="151" t="s">
        <v>256</v>
      </c>
      <c r="D70" s="152" t="s">
        <v>559</v>
      </c>
      <c r="E70" s="153" t="s">
        <v>777</v>
      </c>
    </row>
    <row r="71" spans="1:5" ht="12.75" customHeight="1" x14ac:dyDescent="0.2">
      <c r="A71" s="150"/>
      <c r="B71" s="150"/>
      <c r="C71" s="151" t="s">
        <v>457</v>
      </c>
      <c r="D71" s="152" t="s">
        <v>559</v>
      </c>
      <c r="E71" s="153" t="s">
        <v>584</v>
      </c>
    </row>
    <row r="72" spans="1:5" ht="12.75" customHeight="1" x14ac:dyDescent="0.2">
      <c r="A72" s="92"/>
      <c r="B72" s="92"/>
      <c r="C72" s="154"/>
      <c r="D72" s="155"/>
      <c r="E72" s="92"/>
    </row>
    <row r="73" spans="1:5" ht="12.75" customHeight="1" x14ac:dyDescent="0.2">
      <c r="A73" s="150" t="s">
        <v>478</v>
      </c>
      <c r="B73" s="150" t="str">
        <f>Labels!B29</f>
        <v>Invest by Origin ex-Div</v>
      </c>
      <c r="C73" s="151" t="s">
        <v>84</v>
      </c>
      <c r="D73" s="152" t="s">
        <v>559</v>
      </c>
      <c r="E73" s="153" t="s">
        <v>568</v>
      </c>
    </row>
    <row r="74" spans="1:5" ht="12.75" customHeight="1" x14ac:dyDescent="0.2">
      <c r="A74" s="92"/>
      <c r="B74" s="92"/>
      <c r="C74" s="154"/>
      <c r="D74" s="155"/>
      <c r="E74" s="92"/>
    </row>
    <row r="75" spans="1:5" ht="12.75" customHeight="1" x14ac:dyDescent="0.2">
      <c r="A75" s="150" t="s">
        <v>446</v>
      </c>
      <c r="B75" s="150" t="str">
        <f>Labels!B30</f>
        <v>Invest by Origin Options</v>
      </c>
      <c r="C75" s="151" t="s">
        <v>734</v>
      </c>
      <c r="D75" s="152" t="s">
        <v>559</v>
      </c>
      <c r="E75" s="153" t="s">
        <v>534</v>
      </c>
    </row>
    <row r="76" spans="1:5" ht="12.75" customHeight="1" x14ac:dyDescent="0.2">
      <c r="A76" s="92"/>
      <c r="B76" s="92"/>
      <c r="C76" s="154"/>
      <c r="D76" s="155"/>
      <c r="E76" s="92"/>
    </row>
    <row r="77" spans="1:5" ht="12.75" customHeight="1" x14ac:dyDescent="0.2">
      <c r="A77" s="150" t="s">
        <v>810</v>
      </c>
      <c r="B77" s="150" t="str">
        <f>Labels!B31</f>
        <v>Invest by Origin Preferred</v>
      </c>
      <c r="C77" s="151" t="s">
        <v>734</v>
      </c>
      <c r="D77" s="152" t="s">
        <v>559</v>
      </c>
      <c r="E77" s="153" t="s">
        <v>331</v>
      </c>
    </row>
    <row r="78" spans="1:5" ht="12.75" customHeight="1" x14ac:dyDescent="0.2">
      <c r="A78" s="92"/>
      <c r="B78" s="92"/>
      <c r="C78" s="154"/>
      <c r="D78" s="155"/>
      <c r="E78" s="92"/>
    </row>
    <row r="79" spans="1:5" ht="12.75" customHeight="1" x14ac:dyDescent="0.2">
      <c r="A79" s="150" t="s">
        <v>757</v>
      </c>
      <c r="B79" s="150" t="str">
        <f>Labels!B32</f>
        <v>Invest by Origin Warrants</v>
      </c>
      <c r="C79" s="151" t="s">
        <v>734</v>
      </c>
      <c r="D79" s="152" t="s">
        <v>559</v>
      </c>
      <c r="E79" s="153" t="s">
        <v>418</v>
      </c>
    </row>
    <row r="80" spans="1:5" ht="12.75" customHeight="1" x14ac:dyDescent="0.2">
      <c r="A80" s="92"/>
      <c r="B80" s="92"/>
      <c r="C80" s="154"/>
      <c r="D80" s="155"/>
      <c r="E80" s="92"/>
    </row>
    <row r="81" spans="1:5" ht="12.75" customHeight="1" x14ac:dyDescent="0.2">
      <c r="A81" s="150" t="s">
        <v>404</v>
      </c>
      <c r="B81" s="150" t="str">
        <f>Labels!B33</f>
        <v>Invest End of Round Common</v>
      </c>
      <c r="C81" s="151" t="s">
        <v>734</v>
      </c>
      <c r="D81" s="152" t="s">
        <v>559</v>
      </c>
      <c r="E81" s="153" t="s">
        <v>629</v>
      </c>
    </row>
    <row r="82" spans="1:5" ht="12.75" customHeight="1" x14ac:dyDescent="0.2">
      <c r="A82" s="92"/>
      <c r="B82" s="92"/>
      <c r="C82" s="154"/>
      <c r="D82" s="155"/>
      <c r="E82" s="92"/>
    </row>
    <row r="83" spans="1:5" ht="12.75" customHeight="1" x14ac:dyDescent="0.2">
      <c r="A83" s="150" t="s">
        <v>143</v>
      </c>
      <c r="B83" s="150" t="str">
        <f>Labels!B34</f>
        <v>Invest End Round Notes</v>
      </c>
      <c r="C83" s="151" t="s">
        <v>734</v>
      </c>
      <c r="D83" s="152" t="s">
        <v>559</v>
      </c>
      <c r="E83" s="153" t="s">
        <v>133</v>
      </c>
    </row>
    <row r="84" spans="1:5" ht="12.75" customHeight="1" x14ac:dyDescent="0.2">
      <c r="A84" s="92"/>
      <c r="B84" s="92"/>
      <c r="C84" s="154"/>
      <c r="D84" s="155"/>
      <c r="E84" s="92"/>
    </row>
    <row r="85" spans="1:5" ht="12.75" customHeight="1" x14ac:dyDescent="0.2">
      <c r="A85" s="150" t="s">
        <v>396</v>
      </c>
      <c r="B85" s="150" t="str">
        <f>Labels!B35</f>
        <v>Invest End Round Options</v>
      </c>
      <c r="C85" s="151" t="s">
        <v>734</v>
      </c>
      <c r="D85" s="152" t="s">
        <v>559</v>
      </c>
      <c r="E85" s="153" t="s">
        <v>552</v>
      </c>
    </row>
    <row r="86" spans="1:5" ht="12.75" customHeight="1" x14ac:dyDescent="0.2">
      <c r="A86" s="92"/>
      <c r="B86" s="92"/>
      <c r="C86" s="154"/>
      <c r="D86" s="155"/>
      <c r="E86" s="92"/>
    </row>
    <row r="87" spans="1:5" ht="12.75" customHeight="1" x14ac:dyDescent="0.2">
      <c r="A87" s="150" t="s">
        <v>152</v>
      </c>
      <c r="B87" s="150" t="str">
        <f>Labels!B36</f>
        <v>Invest End Round Preferred</v>
      </c>
      <c r="C87" s="151" t="s">
        <v>734</v>
      </c>
      <c r="D87" s="152" t="s">
        <v>559</v>
      </c>
      <c r="E87" s="153" t="s">
        <v>599</v>
      </c>
    </row>
    <row r="88" spans="1:5" ht="12.75" customHeight="1" x14ac:dyDescent="0.2">
      <c r="A88" s="92"/>
      <c r="B88" s="92"/>
      <c r="C88" s="154"/>
      <c r="D88" s="155"/>
      <c r="E88" s="92"/>
    </row>
    <row r="89" spans="1:5" ht="12.75" customHeight="1" x14ac:dyDescent="0.2">
      <c r="A89" s="150" t="s">
        <v>508</v>
      </c>
      <c r="B89" s="150" t="str">
        <f>Labels!B37</f>
        <v>Invest End Round Warrants</v>
      </c>
      <c r="C89" s="151" t="s">
        <v>734</v>
      </c>
      <c r="D89" s="152" t="s">
        <v>559</v>
      </c>
      <c r="E89" s="153" t="s">
        <v>726</v>
      </c>
    </row>
    <row r="90" spans="1:5" ht="12.75" customHeight="1" x14ac:dyDescent="0.2">
      <c r="A90" s="92"/>
      <c r="B90" s="92"/>
      <c r="C90" s="154"/>
      <c r="D90" s="155"/>
      <c r="E90" s="92"/>
    </row>
    <row r="91" spans="1:5" ht="12.75" customHeight="1" x14ac:dyDescent="0.2">
      <c r="A91" s="150" t="s">
        <v>336</v>
      </c>
      <c r="B91" s="150" t="str">
        <f>Labels!B38</f>
        <v>Investment by Origin</v>
      </c>
      <c r="C91" s="151" t="s">
        <v>743</v>
      </c>
      <c r="D91" s="152" t="s">
        <v>559</v>
      </c>
      <c r="E91" s="153" t="s">
        <v>6</v>
      </c>
    </row>
    <row r="92" spans="1:5" ht="12.75" customHeight="1" x14ac:dyDescent="0.2">
      <c r="A92" s="150"/>
      <c r="B92" s="150"/>
      <c r="C92" s="151" t="s">
        <v>224</v>
      </c>
      <c r="D92" s="152" t="s">
        <v>559</v>
      </c>
      <c r="E92" s="153" t="s">
        <v>6</v>
      </c>
    </row>
    <row r="93" spans="1:5" ht="12.75" customHeight="1" x14ac:dyDescent="0.2">
      <c r="A93" s="150"/>
      <c r="B93" s="150"/>
      <c r="C93" s="151" t="s">
        <v>615</v>
      </c>
      <c r="D93" s="152" t="s">
        <v>559</v>
      </c>
      <c r="E93" s="153" t="s">
        <v>518</v>
      </c>
    </row>
    <row r="94" spans="1:5" ht="12.75" customHeight="1" x14ac:dyDescent="0.2">
      <c r="A94" s="150"/>
      <c r="B94" s="150"/>
      <c r="C94" s="151" t="s">
        <v>457</v>
      </c>
      <c r="D94" s="152" t="s">
        <v>559</v>
      </c>
      <c r="E94" s="153" t="s">
        <v>513</v>
      </c>
    </row>
    <row r="95" spans="1:5" ht="12.75" customHeight="1" x14ac:dyDescent="0.2">
      <c r="A95" s="150"/>
      <c r="B95" s="150"/>
      <c r="C95" s="151" t="s">
        <v>574</v>
      </c>
      <c r="D95" s="152" t="s">
        <v>559</v>
      </c>
      <c r="E95" s="153" t="s">
        <v>124</v>
      </c>
    </row>
    <row r="96" spans="1:5" ht="12.75" customHeight="1" x14ac:dyDescent="0.2">
      <c r="A96" s="150"/>
      <c r="B96" s="150"/>
      <c r="C96" s="151" t="s">
        <v>256</v>
      </c>
      <c r="D96" s="152" t="s">
        <v>559</v>
      </c>
      <c r="E96" s="153" t="s">
        <v>481</v>
      </c>
    </row>
    <row r="97" spans="1:5" ht="12.75" customHeight="1" x14ac:dyDescent="0.2">
      <c r="A97" s="92"/>
      <c r="B97" s="92"/>
      <c r="C97" s="154"/>
      <c r="D97" s="155"/>
      <c r="E97" s="92"/>
    </row>
    <row r="98" spans="1:5" ht="12.75" customHeight="1" x14ac:dyDescent="0.2">
      <c r="A98" s="150" t="s">
        <v>518</v>
      </c>
      <c r="B98" s="150" t="str">
        <f>Labels!B39</f>
        <v>Net Investment</v>
      </c>
      <c r="C98" s="151" t="s">
        <v>243</v>
      </c>
      <c r="D98" s="152" t="s">
        <v>559</v>
      </c>
      <c r="E98" s="153" t="s">
        <v>532</v>
      </c>
    </row>
    <row r="99" spans="1:5" ht="12.75" customHeight="1" x14ac:dyDescent="0.2">
      <c r="A99" s="150"/>
      <c r="B99" s="150"/>
      <c r="C99" s="151" t="s">
        <v>318</v>
      </c>
      <c r="D99" s="152" t="s">
        <v>559</v>
      </c>
      <c r="E99" s="153" t="s">
        <v>354</v>
      </c>
    </row>
    <row r="100" spans="1:5" ht="12.75" customHeight="1" x14ac:dyDescent="0.2">
      <c r="A100" s="150"/>
      <c r="B100" s="150"/>
      <c r="C100" s="151" t="s">
        <v>437</v>
      </c>
      <c r="D100" s="152" t="s">
        <v>559</v>
      </c>
      <c r="E100" s="153" t="s">
        <v>354</v>
      </c>
    </row>
    <row r="101" spans="1:5" ht="12.75" customHeight="1" x14ac:dyDescent="0.2">
      <c r="A101" s="150"/>
      <c r="B101" s="150"/>
      <c r="C101" s="151" t="s">
        <v>256</v>
      </c>
      <c r="D101" s="152" t="s">
        <v>559</v>
      </c>
      <c r="E101" s="153" t="s">
        <v>713</v>
      </c>
    </row>
    <row r="102" spans="1:5" ht="12.75" customHeight="1" x14ac:dyDescent="0.2">
      <c r="A102" s="150"/>
      <c r="B102" s="150"/>
      <c r="C102" s="151" t="s">
        <v>457</v>
      </c>
      <c r="D102" s="152" t="s">
        <v>559</v>
      </c>
      <c r="E102" s="153" t="s">
        <v>282</v>
      </c>
    </row>
    <row r="103" spans="1:5" ht="12.75" customHeight="1" x14ac:dyDescent="0.2">
      <c r="A103" s="150"/>
      <c r="B103" s="150"/>
      <c r="C103" s="151" t="s">
        <v>574</v>
      </c>
      <c r="D103" s="152" t="s">
        <v>559</v>
      </c>
      <c r="E103" s="153" t="s">
        <v>512</v>
      </c>
    </row>
    <row r="104" spans="1:5" ht="12.75" customHeight="1" x14ac:dyDescent="0.2">
      <c r="A104" s="150"/>
      <c r="B104" s="150"/>
      <c r="C104" s="151" t="s">
        <v>615</v>
      </c>
      <c r="D104" s="152" t="s">
        <v>559</v>
      </c>
      <c r="E104" s="153" t="s">
        <v>309</v>
      </c>
    </row>
    <row r="105" spans="1:5" ht="12.75" customHeight="1" x14ac:dyDescent="0.2">
      <c r="A105" s="150"/>
      <c r="B105" s="150"/>
      <c r="C105" s="151" t="s">
        <v>369</v>
      </c>
      <c r="D105" s="152" t="s">
        <v>559</v>
      </c>
      <c r="E105" s="153" t="s">
        <v>488</v>
      </c>
    </row>
    <row r="106" spans="1:5" ht="12.75" customHeight="1" x14ac:dyDescent="0.2">
      <c r="A106" s="92"/>
      <c r="B106" s="92"/>
      <c r="C106" s="154"/>
      <c r="D106" s="155"/>
      <c r="E106" s="92"/>
    </row>
    <row r="107" spans="1:5" ht="12.75" customHeight="1" x14ac:dyDescent="0.2">
      <c r="A107" s="150" t="s">
        <v>341</v>
      </c>
      <c r="B107" s="150" t="str">
        <f>Labels!B40</f>
        <v>Net Investment</v>
      </c>
      <c r="C107" s="151" t="s">
        <v>734</v>
      </c>
      <c r="D107" s="152" t="s">
        <v>559</v>
      </c>
      <c r="E107" s="153" t="s">
        <v>515</v>
      </c>
    </row>
    <row r="108" spans="1:5" ht="12.75" customHeight="1" x14ac:dyDescent="0.2">
      <c r="A108" s="92"/>
      <c r="B108" s="92"/>
      <c r="C108" s="154"/>
      <c r="D108" s="155"/>
      <c r="E108" s="92"/>
    </row>
    <row r="109" spans="1:5" ht="12.75" customHeight="1" x14ac:dyDescent="0.2">
      <c r="A109" s="150" t="s">
        <v>259</v>
      </c>
      <c r="B109" s="150" t="str">
        <f>Labels!B41</f>
        <v>Net New Invest</v>
      </c>
      <c r="C109" s="151" t="s">
        <v>734</v>
      </c>
      <c r="D109" s="152" t="s">
        <v>559</v>
      </c>
      <c r="E109" s="153" t="s">
        <v>8</v>
      </c>
    </row>
    <row r="110" spans="1:5" ht="12.75" customHeight="1" x14ac:dyDescent="0.2">
      <c r="A110" s="92"/>
      <c r="B110" s="92"/>
      <c r="C110" s="154"/>
      <c r="D110" s="155"/>
      <c r="E110" s="92"/>
    </row>
    <row r="111" spans="1:5" ht="12.75" customHeight="1" x14ac:dyDescent="0.2">
      <c r="A111" s="150" t="s">
        <v>309</v>
      </c>
      <c r="B111" s="150" t="str">
        <f>Labels!B42</f>
        <v>New Investment</v>
      </c>
      <c r="C111" s="151" t="s">
        <v>135</v>
      </c>
      <c r="D111" s="152" t="s">
        <v>559</v>
      </c>
      <c r="E111" s="153" t="s">
        <v>505</v>
      </c>
    </row>
    <row r="112" spans="1:5" ht="12.75" customHeight="1" x14ac:dyDescent="0.2">
      <c r="A112" s="92"/>
      <c r="B112" s="92"/>
      <c r="C112" s="154"/>
      <c r="D112" s="155"/>
      <c r="E112" s="92"/>
    </row>
    <row r="113" spans="1:5" ht="12.75" customHeight="1" x14ac:dyDescent="0.2">
      <c r="A113" s="150" t="s">
        <v>505</v>
      </c>
      <c r="B113" s="150" t="str">
        <f>Labels!B43</f>
        <v>New Investment</v>
      </c>
      <c r="C113" s="151" t="s">
        <v>135</v>
      </c>
      <c r="D113" s="152" t="s">
        <v>559</v>
      </c>
      <c r="E113" s="153" t="s">
        <v>75</v>
      </c>
    </row>
    <row r="114" spans="1:5" ht="12.75" customHeight="1" x14ac:dyDescent="0.2">
      <c r="A114" s="92"/>
      <c r="B114" s="92"/>
      <c r="C114" s="154"/>
      <c r="D114" s="155"/>
      <c r="E114" s="92"/>
    </row>
    <row r="115" spans="1:5" ht="12.75" customHeight="1" x14ac:dyDescent="0.2">
      <c r="A115" s="150" t="s">
        <v>206</v>
      </c>
      <c r="B115" s="150" t="str">
        <f>Labels!B44</f>
        <v>Cash Flow</v>
      </c>
      <c r="C115" s="151" t="s">
        <v>319</v>
      </c>
      <c r="D115" s="152" t="s">
        <v>559</v>
      </c>
      <c r="E115" s="153" t="s">
        <v>486</v>
      </c>
    </row>
    <row r="116" spans="1:5" ht="12.75" customHeight="1" x14ac:dyDescent="0.2">
      <c r="A116" s="150"/>
      <c r="B116" s="150"/>
      <c r="C116" s="151"/>
      <c r="D116" s="152" t="s">
        <v>111</v>
      </c>
      <c r="E116" s="153" t="s">
        <v>379</v>
      </c>
    </row>
    <row r="117" spans="1:5" ht="12.75" customHeight="1" x14ac:dyDescent="0.2">
      <c r="A117" s="92"/>
      <c r="B117" s="92"/>
      <c r="C117" s="154"/>
      <c r="D117" s="155"/>
      <c r="E117" s="92"/>
    </row>
    <row r="118" spans="1:5" ht="12.75" customHeight="1" x14ac:dyDescent="0.2">
      <c r="A118" s="150" t="s">
        <v>722</v>
      </c>
      <c r="B118" s="150" t="str">
        <f>Labels!B45</f>
        <v>IRR Initial Guess (Yr)</v>
      </c>
      <c r="C118" s="151"/>
      <c r="D118" s="152"/>
      <c r="E118" s="153"/>
    </row>
    <row r="119" spans="1:5" ht="12.75" customHeight="1" x14ac:dyDescent="0.2">
      <c r="A119" s="92"/>
      <c r="B119" s="92"/>
      <c r="C119" s="154"/>
      <c r="D119" s="155"/>
      <c r="E119" s="92"/>
    </row>
    <row r="120" spans="1:5" ht="12.75" customHeight="1" x14ac:dyDescent="0.2">
      <c r="A120" s="150" t="s">
        <v>351</v>
      </c>
      <c r="B120" s="150" t="str">
        <f>Labels!B46</f>
        <v>IRR (Yr)</v>
      </c>
      <c r="C120" s="151" t="s">
        <v>72</v>
      </c>
      <c r="D120" s="152" t="s">
        <v>111</v>
      </c>
      <c r="E120" s="153" t="s">
        <v>604</v>
      </c>
    </row>
    <row r="121" spans="1:5" ht="12.75" customHeight="1" x14ac:dyDescent="0.2">
      <c r="A121" s="92"/>
      <c r="B121" s="92"/>
      <c r="C121" s="154"/>
      <c r="D121" s="155"/>
      <c r="E121" s="92"/>
    </row>
    <row r="122" spans="1:5" ht="12.75" customHeight="1" x14ac:dyDescent="0.2">
      <c r="A122" s="150" t="s">
        <v>327</v>
      </c>
      <c r="B122" s="150" t="str">
        <f>Labels!B47</f>
        <v>Liq Multiple</v>
      </c>
      <c r="C122" s="151"/>
      <c r="D122" s="152"/>
      <c r="E122" s="153"/>
    </row>
    <row r="123" spans="1:5" ht="12.75" customHeight="1" x14ac:dyDescent="0.2">
      <c r="A123" s="92"/>
      <c r="B123" s="92"/>
      <c r="C123" s="154"/>
      <c r="D123" s="155"/>
      <c r="E123" s="92"/>
    </row>
    <row r="124" spans="1:5" ht="12.75" customHeight="1" x14ac:dyDescent="0.2">
      <c r="A124" s="150" t="s">
        <v>739</v>
      </c>
      <c r="B124" s="150" t="str">
        <f>Labels!B48</f>
        <v>Liquidation Preference</v>
      </c>
      <c r="C124" s="151" t="s">
        <v>135</v>
      </c>
      <c r="D124" s="152" t="s">
        <v>559</v>
      </c>
      <c r="E124" s="153" t="s">
        <v>754</v>
      </c>
    </row>
    <row r="125" spans="1:5" ht="12.75" customHeight="1" x14ac:dyDescent="0.2">
      <c r="A125" s="92"/>
      <c r="B125" s="92"/>
      <c r="C125" s="154"/>
      <c r="D125" s="155"/>
      <c r="E125" s="92"/>
    </row>
    <row r="126" spans="1:5" ht="12.75" customHeight="1" x14ac:dyDescent="0.2">
      <c r="A126" s="150" t="s">
        <v>578</v>
      </c>
      <c r="B126" s="150" t="str">
        <f>Labels!B49</f>
        <v>Liq Preference</v>
      </c>
      <c r="C126" s="151" t="s">
        <v>72</v>
      </c>
      <c r="D126" s="152" t="s">
        <v>559</v>
      </c>
      <c r="E126" s="153" t="s">
        <v>747</v>
      </c>
    </row>
    <row r="127" spans="1:5" ht="12.75" customHeight="1" x14ac:dyDescent="0.2">
      <c r="A127" s="92"/>
      <c r="B127" s="92"/>
      <c r="C127" s="154"/>
      <c r="D127" s="155"/>
      <c r="E127" s="92"/>
    </row>
    <row r="128" spans="1:5" ht="12.75" customHeight="1" x14ac:dyDescent="0.2">
      <c r="A128" s="150" t="s">
        <v>231</v>
      </c>
      <c r="B128" s="150" t="str">
        <f>Labels!B50</f>
        <v>Liq Preference New</v>
      </c>
      <c r="C128" s="151" t="s">
        <v>135</v>
      </c>
      <c r="D128" s="152" t="s">
        <v>559</v>
      </c>
      <c r="E128" s="153" t="s">
        <v>360</v>
      </c>
    </row>
    <row r="129" spans="1:5" ht="12.75" customHeight="1" x14ac:dyDescent="0.2">
      <c r="A129" s="92"/>
      <c r="B129" s="92"/>
      <c r="C129" s="154"/>
      <c r="D129" s="155"/>
      <c r="E129" s="92"/>
    </row>
    <row r="130" spans="1:5" ht="12.75" customHeight="1" x14ac:dyDescent="0.2">
      <c r="A130" s="150" t="s">
        <v>798</v>
      </c>
      <c r="B130" s="150" t="str">
        <f>Labels!B51</f>
        <v>Net Present Value</v>
      </c>
      <c r="C130" s="151" t="s">
        <v>72</v>
      </c>
      <c r="D130" s="152" t="s">
        <v>559</v>
      </c>
      <c r="E130" s="153" t="s">
        <v>506</v>
      </c>
    </row>
    <row r="131" spans="1:5" ht="12.75" customHeight="1" x14ac:dyDescent="0.2">
      <c r="A131" s="92"/>
      <c r="B131" s="92"/>
      <c r="C131" s="154"/>
      <c r="D131" s="155"/>
      <c r="E131" s="92"/>
    </row>
    <row r="132" spans="1:5" ht="12.75" customHeight="1" x14ac:dyDescent="0.2">
      <c r="A132" s="150" t="s">
        <v>427</v>
      </c>
      <c r="B132" s="150" t="str">
        <f>Labels!B52</f>
        <v>Exercise Amt</v>
      </c>
      <c r="C132" s="151" t="s">
        <v>457</v>
      </c>
      <c r="D132" s="152" t="s">
        <v>559</v>
      </c>
      <c r="E132" s="153" t="s">
        <v>314</v>
      </c>
    </row>
    <row r="133" spans="1:5" ht="12.75" customHeight="1" x14ac:dyDescent="0.2">
      <c r="A133" s="150"/>
      <c r="B133" s="150"/>
      <c r="C133" s="151" t="s">
        <v>256</v>
      </c>
      <c r="D133" s="152" t="s">
        <v>559</v>
      </c>
      <c r="E133" s="153" t="s">
        <v>602</v>
      </c>
    </row>
    <row r="134" spans="1:5" ht="12.75" customHeight="1" x14ac:dyDescent="0.2">
      <c r="A134" s="150"/>
      <c r="B134" s="150"/>
      <c r="C134" s="151" t="s">
        <v>615</v>
      </c>
      <c r="D134" s="152" t="s">
        <v>559</v>
      </c>
      <c r="E134" s="153" t="s">
        <v>104</v>
      </c>
    </row>
    <row r="135" spans="1:5" ht="12.75" customHeight="1" x14ac:dyDescent="0.2">
      <c r="A135" s="150"/>
      <c r="B135" s="150"/>
      <c r="C135" s="151" t="s">
        <v>574</v>
      </c>
      <c r="D135" s="152" t="s">
        <v>559</v>
      </c>
      <c r="E135" s="153" t="s">
        <v>170</v>
      </c>
    </row>
    <row r="136" spans="1:5" ht="12.75" customHeight="1" x14ac:dyDescent="0.2">
      <c r="A136" s="150"/>
      <c r="B136" s="150"/>
      <c r="C136" s="151" t="s">
        <v>369</v>
      </c>
      <c r="D136" s="152" t="s">
        <v>559</v>
      </c>
      <c r="E136" s="153" t="s">
        <v>260</v>
      </c>
    </row>
    <row r="137" spans="1:5" ht="12.75" customHeight="1" x14ac:dyDescent="0.2">
      <c r="A137" s="92"/>
      <c r="B137" s="92"/>
      <c r="C137" s="154"/>
      <c r="D137" s="155"/>
      <c r="E137" s="92"/>
    </row>
    <row r="138" spans="1:5" ht="12.75" customHeight="1" x14ac:dyDescent="0.2">
      <c r="A138" s="150" t="s">
        <v>116</v>
      </c>
      <c r="B138" s="150" t="str">
        <f>Labels!B53</f>
        <v>Exercise Price</v>
      </c>
      <c r="C138" s="151"/>
      <c r="D138" s="152"/>
      <c r="E138" s="153"/>
    </row>
    <row r="139" spans="1:5" ht="12.75" customHeight="1" x14ac:dyDescent="0.2">
      <c r="A139" s="92"/>
      <c r="B139" s="92"/>
      <c r="C139" s="154"/>
      <c r="D139" s="155"/>
      <c r="E139" s="92"/>
    </row>
    <row r="140" spans="1:5" ht="12.75" customHeight="1" x14ac:dyDescent="0.2">
      <c r="A140" s="150" t="s">
        <v>520</v>
      </c>
      <c r="B140" s="150" t="str">
        <f>Labels!B54</f>
        <v>Units 'in the Money'</v>
      </c>
      <c r="C140" s="151" t="s">
        <v>773</v>
      </c>
      <c r="D140" s="152" t="s">
        <v>559</v>
      </c>
      <c r="E140" s="153" t="s">
        <v>675</v>
      </c>
    </row>
    <row r="141" spans="1:5" ht="12.75" customHeight="1" x14ac:dyDescent="0.2">
      <c r="A141" s="150"/>
      <c r="B141" s="150"/>
      <c r="C141" s="151" t="s">
        <v>44</v>
      </c>
      <c r="D141" s="152" t="s">
        <v>559</v>
      </c>
      <c r="E141" s="153" t="s">
        <v>675</v>
      </c>
    </row>
    <row r="142" spans="1:5" ht="12.75" customHeight="1" x14ac:dyDescent="0.2">
      <c r="A142" s="92"/>
      <c r="B142" s="92"/>
      <c r="C142" s="154"/>
      <c r="D142" s="155"/>
      <c r="E142" s="92"/>
    </row>
    <row r="143" spans="1:5" ht="12.75" customHeight="1" x14ac:dyDescent="0.2">
      <c r="A143" s="150" t="s">
        <v>767</v>
      </c>
      <c r="B143" s="150" t="str">
        <f>Labels!B55</f>
        <v>Payout by Origin</v>
      </c>
      <c r="C143" s="151" t="s">
        <v>118</v>
      </c>
      <c r="D143" s="152" t="s">
        <v>559</v>
      </c>
      <c r="E143" s="153" t="s">
        <v>689</v>
      </c>
    </row>
    <row r="144" spans="1:5" ht="12.75" customHeight="1" x14ac:dyDescent="0.2">
      <c r="A144" s="150"/>
      <c r="B144" s="150"/>
      <c r="C144" s="151" t="s">
        <v>135</v>
      </c>
      <c r="D144" s="152" t="s">
        <v>559</v>
      </c>
      <c r="E144" s="153" t="s">
        <v>563</v>
      </c>
    </row>
    <row r="145" spans="1:5" ht="12.75" customHeight="1" x14ac:dyDescent="0.2">
      <c r="A145" s="150"/>
      <c r="B145" s="150"/>
      <c r="C145" s="151"/>
      <c r="D145" s="152" t="s">
        <v>111</v>
      </c>
      <c r="E145" s="153" t="s">
        <v>53</v>
      </c>
    </row>
    <row r="146" spans="1:5" ht="12.75" customHeight="1" x14ac:dyDescent="0.2">
      <c r="A146" s="92"/>
      <c r="B146" s="92"/>
      <c r="C146" s="154"/>
      <c r="D146" s="155"/>
      <c r="E146" s="92"/>
    </row>
    <row r="147" spans="1:5" ht="12.75" customHeight="1" x14ac:dyDescent="0.2">
      <c r="A147" s="150" t="s">
        <v>253</v>
      </c>
      <c r="B147" s="150" t="str">
        <f>Labels!B56</f>
        <v>Payout by Origin</v>
      </c>
      <c r="C147" s="151" t="s">
        <v>72</v>
      </c>
      <c r="D147" s="152" t="s">
        <v>111</v>
      </c>
      <c r="E147" s="153" t="s">
        <v>431</v>
      </c>
    </row>
    <row r="148" spans="1:5" ht="12.75" customHeight="1" x14ac:dyDescent="0.2">
      <c r="A148" s="92"/>
      <c r="B148" s="92"/>
      <c r="C148" s="154"/>
      <c r="D148" s="155"/>
      <c r="E148" s="92"/>
    </row>
    <row r="149" spans="1:5" ht="12.75" customHeight="1" x14ac:dyDescent="0.2">
      <c r="A149" s="150" t="s">
        <v>267</v>
      </c>
      <c r="B149" s="150" t="str">
        <f>Labels!B57</f>
        <v>Payout by Origin %</v>
      </c>
      <c r="C149" s="151" t="s">
        <v>319</v>
      </c>
      <c r="D149" s="152" t="s">
        <v>111</v>
      </c>
      <c r="E149" s="153" t="s">
        <v>666</v>
      </c>
    </row>
    <row r="150" spans="1:5" ht="12.75" customHeight="1" x14ac:dyDescent="0.2">
      <c r="A150" s="92"/>
      <c r="B150" s="92"/>
      <c r="C150" s="154"/>
      <c r="D150" s="155"/>
      <c r="E150" s="92"/>
    </row>
    <row r="151" spans="1:5" ht="12.75" customHeight="1" x14ac:dyDescent="0.2">
      <c r="A151" s="150" t="s">
        <v>81</v>
      </c>
      <c r="B151" s="150" t="str">
        <f>Labels!B58</f>
        <v>Payout by Origin %</v>
      </c>
      <c r="C151" s="151" t="s">
        <v>72</v>
      </c>
      <c r="D151" s="152" t="s">
        <v>111</v>
      </c>
      <c r="E151" s="153" t="s">
        <v>365</v>
      </c>
    </row>
    <row r="152" spans="1:5" ht="12.75" customHeight="1" x14ac:dyDescent="0.2">
      <c r="A152" s="92"/>
      <c r="B152" s="92"/>
      <c r="C152" s="154"/>
      <c r="D152" s="155"/>
      <c r="E152" s="92"/>
    </row>
    <row r="153" spans="1:5" ht="12.75" customHeight="1" x14ac:dyDescent="0.2">
      <c r="A153" s="150" t="s">
        <v>220</v>
      </c>
      <c r="B153" s="150" t="str">
        <f>Labels!B59</f>
        <v>Payout</v>
      </c>
      <c r="C153" s="151" t="s">
        <v>118</v>
      </c>
      <c r="D153" s="152" t="s">
        <v>559</v>
      </c>
      <c r="E153" s="153" t="s">
        <v>39</v>
      </c>
    </row>
    <row r="154" spans="1:5" ht="12.75" customHeight="1" x14ac:dyDescent="0.2">
      <c r="A154" s="150"/>
      <c r="B154" s="150"/>
      <c r="C154" s="151" t="s">
        <v>773</v>
      </c>
      <c r="D154" s="152" t="s">
        <v>559</v>
      </c>
      <c r="E154" s="153" t="s">
        <v>406</v>
      </c>
    </row>
    <row r="155" spans="1:5" ht="12.75" customHeight="1" x14ac:dyDescent="0.2">
      <c r="A155" s="150"/>
      <c r="B155" s="150"/>
      <c r="C155" s="151" t="s">
        <v>107</v>
      </c>
      <c r="D155" s="152" t="s">
        <v>559</v>
      </c>
      <c r="E155" s="153" t="s">
        <v>441</v>
      </c>
    </row>
    <row r="156" spans="1:5" ht="12.75" customHeight="1" x14ac:dyDescent="0.2">
      <c r="A156" s="150"/>
      <c r="B156" s="150"/>
      <c r="C156" s="151" t="s">
        <v>581</v>
      </c>
      <c r="D156" s="152" t="s">
        <v>559</v>
      </c>
      <c r="E156" s="153" t="s">
        <v>226</v>
      </c>
    </row>
    <row r="157" spans="1:5" ht="12.75" customHeight="1" x14ac:dyDescent="0.2">
      <c r="A157" s="150"/>
      <c r="B157" s="150"/>
      <c r="C157" s="151" t="s">
        <v>44</v>
      </c>
      <c r="D157" s="152" t="s">
        <v>559</v>
      </c>
      <c r="E157" s="153" t="s">
        <v>406</v>
      </c>
    </row>
    <row r="158" spans="1:5" ht="12.75" customHeight="1" x14ac:dyDescent="0.2">
      <c r="A158" s="150"/>
      <c r="B158" s="150"/>
      <c r="C158" s="151" t="s">
        <v>135</v>
      </c>
      <c r="D158" s="152" t="s">
        <v>111</v>
      </c>
      <c r="E158" s="153" t="s">
        <v>442</v>
      </c>
    </row>
    <row r="159" spans="1:5" ht="12.75" customHeight="1" x14ac:dyDescent="0.2">
      <c r="A159" s="92"/>
      <c r="B159" s="92"/>
      <c r="C159" s="154"/>
      <c r="D159" s="155"/>
      <c r="E159" s="92"/>
    </row>
    <row r="160" spans="1:5" ht="12.75" customHeight="1" x14ac:dyDescent="0.2">
      <c r="A160" s="150" t="s">
        <v>237</v>
      </c>
      <c r="B160" s="150" t="str">
        <f>Labels!B60</f>
        <v>Payout %</v>
      </c>
      <c r="C160" s="151" t="s">
        <v>319</v>
      </c>
      <c r="D160" s="152" t="s">
        <v>111</v>
      </c>
      <c r="E160" s="153" t="s">
        <v>105</v>
      </c>
    </row>
    <row r="161" spans="1:5" ht="12.75" customHeight="1" x14ac:dyDescent="0.2">
      <c r="A161" s="92"/>
      <c r="B161" s="92"/>
      <c r="C161" s="154"/>
      <c r="D161" s="155"/>
      <c r="E161" s="92"/>
    </row>
    <row r="162" spans="1:5" ht="12.75" customHeight="1" x14ac:dyDescent="0.2">
      <c r="A162" s="150" t="s">
        <v>453</v>
      </c>
      <c r="B162" s="150" t="str">
        <f>Labels!B61</f>
        <v>Payout</v>
      </c>
      <c r="C162" s="151" t="s">
        <v>72</v>
      </c>
      <c r="D162" s="152" t="s">
        <v>111</v>
      </c>
      <c r="E162" s="153" t="s">
        <v>620</v>
      </c>
    </row>
    <row r="163" spans="1:5" ht="12.75" customHeight="1" x14ac:dyDescent="0.2">
      <c r="A163" s="92"/>
      <c r="B163" s="92"/>
      <c r="C163" s="154"/>
      <c r="D163" s="155"/>
      <c r="E163" s="92"/>
    </row>
    <row r="164" spans="1:5" ht="12.75" customHeight="1" x14ac:dyDescent="0.2">
      <c r="A164" s="150" t="s">
        <v>131</v>
      </c>
      <c r="B164" s="150" t="str">
        <f>Labels!B62</f>
        <v>Payout %</v>
      </c>
      <c r="C164" s="151" t="s">
        <v>72</v>
      </c>
      <c r="D164" s="152" t="s">
        <v>111</v>
      </c>
      <c r="E164" s="153" t="s">
        <v>555</v>
      </c>
    </row>
    <row r="165" spans="1:5" ht="12.75" customHeight="1" x14ac:dyDescent="0.2">
      <c r="A165" s="92"/>
      <c r="B165" s="92"/>
      <c r="C165" s="154"/>
      <c r="D165" s="155"/>
      <c r="E165" s="92"/>
    </row>
    <row r="166" spans="1:5" ht="12.75" customHeight="1" x14ac:dyDescent="0.2">
      <c r="A166" s="150" t="s">
        <v>353</v>
      </c>
      <c r="B166" s="150" t="str">
        <f>Labels!B63</f>
        <v>Payout Pool</v>
      </c>
      <c r="C166" s="151" t="s">
        <v>135</v>
      </c>
      <c r="D166" s="152" t="s">
        <v>559</v>
      </c>
      <c r="E166" s="153" t="s">
        <v>148</v>
      </c>
    </row>
    <row r="167" spans="1:5" ht="12.75" customHeight="1" x14ac:dyDescent="0.2">
      <c r="A167" s="150"/>
      <c r="B167" s="150"/>
      <c r="C167" s="151"/>
      <c r="D167" s="152" t="s">
        <v>111</v>
      </c>
      <c r="E167" s="153" t="s">
        <v>315</v>
      </c>
    </row>
    <row r="168" spans="1:5" ht="12.75" customHeight="1" x14ac:dyDescent="0.2">
      <c r="A168" s="92"/>
      <c r="B168" s="92"/>
      <c r="C168" s="154"/>
      <c r="D168" s="155"/>
      <c r="E168" s="92"/>
    </row>
    <row r="169" spans="1:5" ht="12.75" customHeight="1" x14ac:dyDescent="0.2">
      <c r="A169" s="150" t="s">
        <v>678</v>
      </c>
      <c r="B169" s="150" t="str">
        <f>Labels!B64</f>
        <v>Payout Pool</v>
      </c>
      <c r="C169" s="151" t="s">
        <v>72</v>
      </c>
      <c r="D169" s="152" t="s">
        <v>559</v>
      </c>
      <c r="E169" s="153" t="s">
        <v>169</v>
      </c>
    </row>
    <row r="170" spans="1:5" ht="12.75" customHeight="1" x14ac:dyDescent="0.2">
      <c r="A170" s="150"/>
      <c r="B170" s="150"/>
      <c r="C170" s="151"/>
      <c r="D170" s="152" t="s">
        <v>111</v>
      </c>
      <c r="E170" s="153" t="s">
        <v>315</v>
      </c>
    </row>
    <row r="171" spans="1:5" ht="12.75" customHeight="1" x14ac:dyDescent="0.2">
      <c r="A171" s="92"/>
      <c r="B171" s="92"/>
      <c r="C171" s="154"/>
      <c r="D171" s="155"/>
      <c r="E171" s="92"/>
    </row>
    <row r="172" spans="1:5" ht="12.75" customHeight="1" x14ac:dyDescent="0.2">
      <c r="A172" s="150" t="s">
        <v>102</v>
      </c>
      <c r="B172" s="150" t="str">
        <f>Labels!B65</f>
        <v>Initial Common Price</v>
      </c>
      <c r="C172" s="151"/>
      <c r="D172" s="152"/>
      <c r="E172" s="153"/>
    </row>
    <row r="173" spans="1:5" ht="12.75" customHeight="1" x14ac:dyDescent="0.2">
      <c r="A173" s="92"/>
      <c r="B173" s="92"/>
      <c r="C173" s="154"/>
      <c r="D173" s="155"/>
      <c r="E173" s="92"/>
    </row>
    <row r="174" spans="1:5" ht="12.75" customHeight="1" x14ac:dyDescent="0.2">
      <c r="A174" s="150" t="s">
        <v>258</v>
      </c>
      <c r="B174" s="150" t="str">
        <f>Labels!B66</f>
        <v>Price Premium %</v>
      </c>
      <c r="C174" s="151" t="s">
        <v>107</v>
      </c>
      <c r="D174" s="152" t="s">
        <v>559</v>
      </c>
      <c r="E174" s="153" t="s">
        <v>32</v>
      </c>
    </row>
    <row r="175" spans="1:5" ht="12.75" customHeight="1" x14ac:dyDescent="0.2">
      <c r="A175" s="150"/>
      <c r="B175" s="150"/>
      <c r="C175" s="151" t="s">
        <v>135</v>
      </c>
      <c r="D175" s="152" t="s">
        <v>559</v>
      </c>
      <c r="E175" s="153" t="s">
        <v>772</v>
      </c>
    </row>
    <row r="176" spans="1:5" ht="12.75" customHeight="1" x14ac:dyDescent="0.2">
      <c r="A176" s="92"/>
      <c r="B176" s="92"/>
      <c r="C176" s="154"/>
      <c r="D176" s="155"/>
      <c r="E176" s="92"/>
    </row>
    <row r="177" spans="1:5" ht="12.75" customHeight="1" x14ac:dyDescent="0.2">
      <c r="A177" s="150" t="s">
        <v>529</v>
      </c>
      <c r="B177" s="150" t="str">
        <f>Labels!B67</f>
        <v>Conversion Price</v>
      </c>
      <c r="C177" s="151" t="s">
        <v>118</v>
      </c>
      <c r="D177" s="152" t="s">
        <v>559</v>
      </c>
      <c r="E177" s="153" t="s">
        <v>695</v>
      </c>
    </row>
    <row r="178" spans="1:5" ht="12.75" customHeight="1" x14ac:dyDescent="0.2">
      <c r="A178" s="150"/>
      <c r="B178" s="150"/>
      <c r="C178" s="151" t="s">
        <v>773</v>
      </c>
      <c r="D178" s="152" t="s">
        <v>559</v>
      </c>
      <c r="E178" s="153" t="s">
        <v>262</v>
      </c>
    </row>
    <row r="179" spans="1:5" ht="12.75" customHeight="1" x14ac:dyDescent="0.2">
      <c r="A179" s="150"/>
      <c r="B179" s="150"/>
      <c r="C179" s="151" t="s">
        <v>107</v>
      </c>
      <c r="D179" s="152" t="s">
        <v>559</v>
      </c>
      <c r="E179" s="153" t="s">
        <v>785</v>
      </c>
    </row>
    <row r="180" spans="1:5" ht="12.75" customHeight="1" x14ac:dyDescent="0.2">
      <c r="A180" s="150"/>
      <c r="B180" s="150"/>
      <c r="C180" s="151" t="s">
        <v>44</v>
      </c>
      <c r="D180" s="152" t="s">
        <v>559</v>
      </c>
      <c r="E180" s="153" t="s">
        <v>262</v>
      </c>
    </row>
    <row r="181" spans="1:5" ht="12.75" customHeight="1" x14ac:dyDescent="0.2">
      <c r="A181" s="150"/>
      <c r="B181" s="150"/>
      <c r="C181" s="151" t="s">
        <v>581</v>
      </c>
      <c r="D181" s="152" t="s">
        <v>559</v>
      </c>
      <c r="E181" s="153" t="s">
        <v>787</v>
      </c>
    </row>
    <row r="182" spans="1:5" ht="12.75" customHeight="1" x14ac:dyDescent="0.2">
      <c r="A182" s="92"/>
      <c r="B182" s="92"/>
      <c r="C182" s="154"/>
      <c r="D182" s="155"/>
      <c r="E182" s="92"/>
    </row>
    <row r="183" spans="1:5" ht="12.75" customHeight="1" x14ac:dyDescent="0.2">
      <c r="A183" s="150" t="s">
        <v>340</v>
      </c>
      <c r="B183" s="150" t="str">
        <f>Labels!B68</f>
        <v>Price New Unit</v>
      </c>
      <c r="C183" s="151" t="s">
        <v>773</v>
      </c>
      <c r="D183" s="152" t="s">
        <v>559</v>
      </c>
      <c r="E183" s="153" t="s">
        <v>535</v>
      </c>
    </row>
    <row r="184" spans="1:5" ht="12.75" customHeight="1" x14ac:dyDescent="0.2">
      <c r="A184" s="150"/>
      <c r="B184" s="150"/>
      <c r="C184" s="151" t="s">
        <v>44</v>
      </c>
      <c r="D184" s="152" t="s">
        <v>559</v>
      </c>
      <c r="E184" s="153" t="s">
        <v>535</v>
      </c>
    </row>
    <row r="185" spans="1:5" ht="12.75" customHeight="1" x14ac:dyDescent="0.2">
      <c r="A185" s="150"/>
      <c r="B185" s="150"/>
      <c r="C185" s="151" t="s">
        <v>135</v>
      </c>
      <c r="D185" s="152" t="s">
        <v>559</v>
      </c>
      <c r="E185" s="153" t="s">
        <v>803</v>
      </c>
    </row>
    <row r="186" spans="1:5" ht="12.75" customHeight="1" x14ac:dyDescent="0.2">
      <c r="A186" s="92"/>
      <c r="B186" s="92"/>
      <c r="C186" s="154"/>
      <c r="D186" s="155"/>
      <c r="E186" s="92"/>
    </row>
    <row r="187" spans="1:5" ht="12.75" customHeight="1" x14ac:dyDescent="0.2">
      <c r="A187" s="150" t="s">
        <v>338</v>
      </c>
      <c r="B187" s="150" t="str">
        <f>Labels!B69</f>
        <v>New Unit Price %</v>
      </c>
      <c r="C187" s="151"/>
      <c r="D187" s="152"/>
      <c r="E187" s="153"/>
    </row>
    <row r="188" spans="1:5" ht="12.75" customHeight="1" x14ac:dyDescent="0.2">
      <c r="A188" s="92"/>
      <c r="B188" s="92"/>
      <c r="C188" s="154"/>
      <c r="D188" s="155"/>
      <c r="E188" s="92"/>
    </row>
    <row r="189" spans="1:5" ht="12.75" customHeight="1" x14ac:dyDescent="0.2">
      <c r="A189" s="150" t="s">
        <v>803</v>
      </c>
      <c r="B189" s="150" t="str">
        <f>Labels!B70</f>
        <v>Share Price</v>
      </c>
      <c r="C189" s="151" t="s">
        <v>118</v>
      </c>
      <c r="D189" s="152" t="s">
        <v>559</v>
      </c>
      <c r="E189" s="153" t="s">
        <v>735</v>
      </c>
    </row>
    <row r="190" spans="1:5" ht="12.75" customHeight="1" x14ac:dyDescent="0.2">
      <c r="A190" s="150"/>
      <c r="B190" s="150"/>
      <c r="C190" s="151" t="s">
        <v>773</v>
      </c>
      <c r="D190" s="152" t="s">
        <v>559</v>
      </c>
      <c r="E190" s="153" t="s">
        <v>221</v>
      </c>
    </row>
    <row r="191" spans="1:5" ht="12.75" customHeight="1" x14ac:dyDescent="0.2">
      <c r="A191" s="150"/>
      <c r="B191" s="150"/>
      <c r="C191" s="151" t="s">
        <v>44</v>
      </c>
      <c r="D191" s="152" t="s">
        <v>559</v>
      </c>
      <c r="E191" s="153" t="s">
        <v>221</v>
      </c>
    </row>
    <row r="192" spans="1:5" ht="12.75" customHeight="1" x14ac:dyDescent="0.2">
      <c r="A192" s="150"/>
      <c r="B192" s="150"/>
      <c r="C192" s="151" t="s">
        <v>107</v>
      </c>
      <c r="D192" s="152" t="s">
        <v>559</v>
      </c>
      <c r="E192" s="153" t="s">
        <v>255</v>
      </c>
    </row>
    <row r="193" spans="1:5" ht="12.75" customHeight="1" x14ac:dyDescent="0.2">
      <c r="A193" s="150"/>
      <c r="B193" s="150"/>
      <c r="C193" s="151" t="s">
        <v>135</v>
      </c>
      <c r="D193" s="152" t="s">
        <v>111</v>
      </c>
      <c r="E193" s="153" t="s">
        <v>304</v>
      </c>
    </row>
    <row r="194" spans="1:5" ht="12.75" customHeight="1" x14ac:dyDescent="0.2">
      <c r="A194" s="92"/>
      <c r="B194" s="92"/>
      <c r="C194" s="154"/>
      <c r="D194" s="155"/>
      <c r="E194" s="92"/>
    </row>
    <row r="195" spans="1:5" ht="12.75" customHeight="1" x14ac:dyDescent="0.2">
      <c r="A195" s="150" t="s">
        <v>690</v>
      </c>
      <c r="B195" s="150" t="str">
        <f>Labels!B71</f>
        <v>Return Multiple</v>
      </c>
      <c r="C195" s="151" t="s">
        <v>72</v>
      </c>
      <c r="D195" s="152" t="s">
        <v>111</v>
      </c>
      <c r="E195" s="153" t="s">
        <v>223</v>
      </c>
    </row>
    <row r="196" spans="1:5" ht="12.75" customHeight="1" x14ac:dyDescent="0.2">
      <c r="A196" s="92"/>
      <c r="B196" s="92"/>
      <c r="C196" s="154"/>
      <c r="D196" s="155"/>
      <c r="E196" s="92"/>
    </row>
    <row r="197" spans="1:5" ht="12.75" customHeight="1" x14ac:dyDescent="0.2">
      <c r="A197" s="150" t="s">
        <v>557</v>
      </c>
      <c r="B197" s="150" t="str">
        <f>Labels!B72</f>
        <v>Rounds</v>
      </c>
      <c r="C197" s="151" t="s">
        <v>734</v>
      </c>
      <c r="D197" s="152" t="s">
        <v>559</v>
      </c>
      <c r="E197" s="153" t="s">
        <v>576</v>
      </c>
    </row>
    <row r="198" spans="1:5" ht="12.75" customHeight="1" x14ac:dyDescent="0.2">
      <c r="A198" s="92"/>
      <c r="B198" s="92"/>
      <c r="C198" s="154"/>
      <c r="D198" s="155"/>
      <c r="E198" s="92"/>
    </row>
    <row r="199" spans="1:5" ht="12.75" customHeight="1" x14ac:dyDescent="0.2">
      <c r="A199" s="150" t="s">
        <v>52</v>
      </c>
      <c r="B199" s="150" t="str">
        <f>Labels!B73</f>
        <v>Investment Scenarios</v>
      </c>
      <c r="C199" s="151" t="s">
        <v>591</v>
      </c>
      <c r="D199" s="152" t="s">
        <v>559</v>
      </c>
      <c r="E199" s="153" t="s">
        <v>766</v>
      </c>
    </row>
    <row r="200" spans="1:5" ht="12.75" customHeight="1" x14ac:dyDescent="0.2">
      <c r="A200" s="92"/>
      <c r="B200" s="92"/>
      <c r="C200" s="154"/>
      <c r="D200" s="155"/>
      <c r="E200" s="92"/>
    </row>
    <row r="201" spans="1:5" ht="12.75" customHeight="1" x14ac:dyDescent="0.2">
      <c r="A201" s="150" t="s">
        <v>306</v>
      </c>
      <c r="B201" s="150" t="str">
        <f>Labels!B74</f>
        <v>Scenarios_Value_Dim</v>
      </c>
      <c r="C201" s="151" t="s">
        <v>120</v>
      </c>
      <c r="D201" s="152" t="s">
        <v>559</v>
      </c>
      <c r="E201" s="153" t="s">
        <v>147</v>
      </c>
    </row>
    <row r="202" spans="1:5" ht="12.75" customHeight="1" x14ac:dyDescent="0.2">
      <c r="A202" s="92"/>
      <c r="B202" s="92"/>
      <c r="C202" s="154"/>
      <c r="D202" s="155"/>
      <c r="E202" s="92"/>
    </row>
    <row r="203" spans="1:5" ht="12.75" customHeight="1" x14ac:dyDescent="0.2">
      <c r="A203" s="150" t="s">
        <v>195</v>
      </c>
      <c r="B203" s="150" t="str">
        <f>Labels!B75</f>
        <v>Securities</v>
      </c>
      <c r="C203" s="151" t="s">
        <v>72</v>
      </c>
      <c r="D203" s="152" t="s">
        <v>559</v>
      </c>
      <c r="E203" s="153" t="s">
        <v>294</v>
      </c>
    </row>
    <row r="204" spans="1:5" ht="12.75" customHeight="1" x14ac:dyDescent="0.2">
      <c r="A204" s="92"/>
      <c r="B204" s="92"/>
      <c r="C204" s="154"/>
      <c r="D204" s="155"/>
      <c r="E204" s="92"/>
    </row>
    <row r="205" spans="1:5" ht="12.75" customHeight="1" x14ac:dyDescent="0.2">
      <c r="A205" s="150" t="s">
        <v>287</v>
      </c>
      <c r="B205" s="150" t="str">
        <f>Labels!B76</f>
        <v>Common Shares by Origin</v>
      </c>
      <c r="C205" s="151" t="s">
        <v>118</v>
      </c>
      <c r="D205" s="152" t="s">
        <v>559</v>
      </c>
      <c r="E205" s="153" t="s">
        <v>114</v>
      </c>
    </row>
    <row r="206" spans="1:5" ht="12.75" customHeight="1" x14ac:dyDescent="0.2">
      <c r="A206" s="150"/>
      <c r="B206" s="150"/>
      <c r="C206" s="151" t="s">
        <v>135</v>
      </c>
      <c r="D206" s="152" t="s">
        <v>559</v>
      </c>
      <c r="E206" s="153" t="s">
        <v>200</v>
      </c>
    </row>
    <row r="207" spans="1:5" ht="12.75" customHeight="1" x14ac:dyDescent="0.2">
      <c r="A207" s="150"/>
      <c r="B207" s="150"/>
      <c r="C207" s="151"/>
      <c r="D207" s="152" t="s">
        <v>111</v>
      </c>
      <c r="E207" s="153" t="s">
        <v>230</v>
      </c>
    </row>
    <row r="208" spans="1:5" ht="12.75" customHeight="1" x14ac:dyDescent="0.2">
      <c r="A208" s="92"/>
      <c r="B208" s="92"/>
      <c r="C208" s="154"/>
      <c r="D208" s="155"/>
      <c r="E208" s="92"/>
    </row>
    <row r="209" spans="1:5" ht="12.75" customHeight="1" x14ac:dyDescent="0.2">
      <c r="A209" s="150" t="s">
        <v>40</v>
      </c>
      <c r="B209" s="150" t="str">
        <f>Labels!B77</f>
        <v>Split Factor</v>
      </c>
      <c r="C209" s="151"/>
      <c r="D209" s="152"/>
      <c r="E209" s="153"/>
    </row>
    <row r="210" spans="1:5" ht="12.75" customHeight="1" x14ac:dyDescent="0.2">
      <c r="A210" s="92"/>
      <c r="B210" s="92"/>
      <c r="C210" s="154"/>
      <c r="D210" s="155"/>
      <c r="E210" s="92"/>
    </row>
    <row r="211" spans="1:5" ht="12.75" customHeight="1" x14ac:dyDescent="0.2">
      <c r="A211" s="150" t="s">
        <v>93</v>
      </c>
      <c r="B211" s="150" t="str">
        <f>Labels!B78</f>
        <v>Net Units</v>
      </c>
      <c r="C211" s="151" t="s">
        <v>243</v>
      </c>
      <c r="D211" s="152" t="s">
        <v>559</v>
      </c>
      <c r="E211" s="153" t="s">
        <v>438</v>
      </c>
    </row>
    <row r="212" spans="1:5" ht="12.75" customHeight="1" x14ac:dyDescent="0.2">
      <c r="A212" s="150"/>
      <c r="B212" s="150"/>
      <c r="C212" s="151" t="s">
        <v>316</v>
      </c>
      <c r="D212" s="152" t="s">
        <v>559</v>
      </c>
      <c r="E212" s="153" t="s">
        <v>756</v>
      </c>
    </row>
    <row r="213" spans="1:5" ht="12.75" customHeight="1" x14ac:dyDescent="0.2">
      <c r="A213" s="150"/>
      <c r="B213" s="150"/>
      <c r="C213" s="151" t="s">
        <v>566</v>
      </c>
      <c r="D213" s="152" t="s">
        <v>559</v>
      </c>
      <c r="E213" s="153" t="s">
        <v>496</v>
      </c>
    </row>
    <row r="214" spans="1:5" ht="12.75" customHeight="1" x14ac:dyDescent="0.2">
      <c r="A214" s="150"/>
      <c r="B214" s="150"/>
      <c r="C214" s="151" t="s">
        <v>572</v>
      </c>
      <c r="D214" s="152" t="s">
        <v>559</v>
      </c>
      <c r="E214" s="153" t="s">
        <v>270</v>
      </c>
    </row>
    <row r="215" spans="1:5" ht="12.75" customHeight="1" x14ac:dyDescent="0.2">
      <c r="A215" s="150"/>
      <c r="B215" s="150"/>
      <c r="C215" s="151" t="s">
        <v>615</v>
      </c>
      <c r="D215" s="152" t="s">
        <v>559</v>
      </c>
      <c r="E215" s="153" t="s">
        <v>92</v>
      </c>
    </row>
    <row r="216" spans="1:5" ht="12.75" customHeight="1" x14ac:dyDescent="0.2">
      <c r="A216" s="150"/>
      <c r="B216" s="150"/>
      <c r="C216" s="151" t="s">
        <v>256</v>
      </c>
      <c r="D216" s="152" t="s">
        <v>559</v>
      </c>
      <c r="E216" s="153" t="s">
        <v>292</v>
      </c>
    </row>
    <row r="217" spans="1:5" ht="12.75" customHeight="1" x14ac:dyDescent="0.2">
      <c r="A217" s="150"/>
      <c r="B217" s="150"/>
      <c r="C217" s="151" t="s">
        <v>369</v>
      </c>
      <c r="D217" s="152" t="s">
        <v>559</v>
      </c>
      <c r="E217" s="153" t="s">
        <v>106</v>
      </c>
    </row>
    <row r="218" spans="1:5" ht="12.75" customHeight="1" x14ac:dyDescent="0.2">
      <c r="A218" s="150"/>
      <c r="B218" s="150"/>
      <c r="C218" s="151" t="s">
        <v>457</v>
      </c>
      <c r="D218" s="152" t="s">
        <v>559</v>
      </c>
      <c r="E218" s="153" t="s">
        <v>466</v>
      </c>
    </row>
    <row r="219" spans="1:5" ht="12.75" customHeight="1" x14ac:dyDescent="0.2">
      <c r="A219" s="150"/>
      <c r="B219" s="150"/>
      <c r="C219" s="151" t="s">
        <v>574</v>
      </c>
      <c r="D219" s="152" t="s">
        <v>559</v>
      </c>
      <c r="E219" s="153" t="s">
        <v>600</v>
      </c>
    </row>
    <row r="220" spans="1:5" ht="12.75" customHeight="1" x14ac:dyDescent="0.2">
      <c r="A220" s="92"/>
      <c r="B220" s="92"/>
      <c r="C220" s="154"/>
      <c r="D220" s="155"/>
      <c r="E220" s="92"/>
    </row>
    <row r="221" spans="1:5" ht="12.75" customHeight="1" x14ac:dyDescent="0.2">
      <c r="A221" s="150" t="s">
        <v>92</v>
      </c>
      <c r="B221" s="150" t="str">
        <f>Labels!B79</f>
        <v>New Units Sold</v>
      </c>
      <c r="C221" s="151" t="s">
        <v>319</v>
      </c>
      <c r="D221" s="152" t="s">
        <v>559</v>
      </c>
      <c r="E221" s="153" t="s">
        <v>549</v>
      </c>
    </row>
    <row r="222" spans="1:5" ht="12.75" customHeight="1" x14ac:dyDescent="0.2">
      <c r="A222" s="92"/>
      <c r="B222" s="92"/>
      <c r="C222" s="154"/>
      <c r="D222" s="155"/>
      <c r="E222" s="92"/>
    </row>
    <row r="223" spans="1:5" ht="12.75" customHeight="1" x14ac:dyDescent="0.2">
      <c r="A223" s="150" t="s">
        <v>549</v>
      </c>
      <c r="B223" s="150" t="str">
        <f>Labels!B80</f>
        <v>New Units</v>
      </c>
      <c r="C223" s="151"/>
      <c r="D223" s="152"/>
      <c r="E223" s="153"/>
    </row>
  </sheetData>
  <mergeCells count="4">
    <mergeCell ref="A1:D1"/>
    <mergeCell ref="A2:D2"/>
    <mergeCell ref="A3:D3"/>
    <mergeCell ref="A4:D4"/>
  </mergeCells>
  <pageMargins left="0.25" right="0.25" top="0.5" bottom="0.5" header="0.5" footer="0.5"/>
  <pageSetup paperSize="9" fitToHeight="32767" orientation="landscape"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H92"/>
  <sheetViews>
    <sheetView zoomScaleNormal="100" workbookViewId="0"/>
  </sheetViews>
  <sheetFormatPr defaultRowHeight="12.75" customHeight="1" x14ac:dyDescent="0.2"/>
  <cols>
    <col min="1" max="1" width="19.5703125" customWidth="1"/>
    <col min="2" max="2" width="7" customWidth="1"/>
    <col min="3" max="3" width="16.42578125" customWidth="1"/>
    <col min="4" max="4" width="8.7109375" customWidth="1"/>
    <col min="5" max="5" width="13.5703125" customWidth="1"/>
    <col min="6" max="6" width="10.5703125" customWidth="1"/>
    <col min="7" max="7" width="15.140625" customWidth="1"/>
    <col min="8" max="8" width="6" customWidth="1"/>
  </cols>
  <sheetData>
    <row r="1" spans="1:8" ht="12.75" customHeight="1" x14ac:dyDescent="0.2">
      <c r="A1" s="261" t="str">
        <f>"Capitalization Table"</f>
        <v>Capitalization Table</v>
      </c>
      <c r="B1" s="261"/>
      <c r="C1" s="261"/>
      <c r="D1" s="261"/>
    </row>
    <row r="2" spans="1:8" ht="12.75" customHeight="1" x14ac:dyDescent="0.2">
      <c r="A2" s="261" t="str">
        <f>Inputs!B8</f>
        <v>ABC Corp.</v>
      </c>
      <c r="B2" s="261"/>
      <c r="C2" s="261"/>
      <c r="D2" s="261"/>
    </row>
    <row r="3" spans="1:8" ht="12.75" customHeight="1" x14ac:dyDescent="0.2">
      <c r="A3" s="261" t="str">
        <f>IF("Boneyard"="(Default Input)","Ignore this sheet in normal use.","Investment Scenario "&amp;1&amp;", Valuation Scenario "&amp;1)</f>
        <v>Investment Scenario 1, Valuation Scenario 1</v>
      </c>
      <c r="B3" s="261"/>
      <c r="C3" s="261"/>
      <c r="D3" s="261"/>
    </row>
    <row r="4" spans="1:8" ht="12.75" customHeight="1" x14ac:dyDescent="0.2">
      <c r="A4" s="261" t="str">
        <f>" "</f>
        <v xml:space="preserve"> </v>
      </c>
      <c r="B4" s="261"/>
      <c r="C4" s="261"/>
      <c r="D4" s="261"/>
    </row>
    <row r="5" spans="1:8" ht="12.75" customHeight="1" x14ac:dyDescent="0.2">
      <c r="A5" s="261" t="str">
        <f>"Ignore this sheet. It should be hidden."</f>
        <v>Ignore this sheet. It should be hidden.</v>
      </c>
      <c r="B5" s="261"/>
      <c r="C5" s="261"/>
      <c r="D5" s="261"/>
    </row>
    <row r="6" spans="1:8" ht="12.75" customHeight="1" x14ac:dyDescent="0.2">
      <c r="A6" s="261" t="str">
        <f>" "</f>
        <v xml:space="preserve"> </v>
      </c>
      <c r="B6" s="261"/>
      <c r="C6" s="261"/>
      <c r="D6" s="261"/>
    </row>
    <row r="7" spans="1:8" ht="12.75" customHeight="1" x14ac:dyDescent="0.2">
      <c r="A7" s="11" t="str">
        <f>Labels!B13</f>
        <v>Conv Discount %</v>
      </c>
      <c r="B7" s="48"/>
      <c r="C7" s="11" t="str">
        <f>Labels!B9</f>
        <v>Trigger Date</v>
      </c>
      <c r="D7" s="156"/>
      <c r="E7" s="11" t="str">
        <f>Labels!B10</f>
        <v>Trigger Invest</v>
      </c>
      <c r="F7" s="27"/>
      <c r="G7" s="11" t="str">
        <f>Labels!B11</f>
        <v>Trigger Value %</v>
      </c>
      <c r="H7" s="48"/>
    </row>
    <row r="8" spans="1:8" ht="12.75" customHeight="1" x14ac:dyDescent="0.2">
      <c r="A8" s="28" t="str">
        <f>"   "&amp;Labels!B103</f>
        <v xml:space="preserve">   Conv Note</v>
      </c>
      <c r="B8" s="157"/>
      <c r="C8" s="28" t="str">
        <f>"   "&amp;Labels!B103</f>
        <v xml:space="preserve">   Conv Note</v>
      </c>
      <c r="D8" s="158"/>
      <c r="E8" s="28" t="str">
        <f>"   "&amp;Labels!B103</f>
        <v xml:space="preserve">   Conv Note</v>
      </c>
      <c r="F8" s="30"/>
      <c r="G8" s="28" t="str">
        <f>"   "&amp;Labels!B103</f>
        <v xml:space="preserve">   Conv Note</v>
      </c>
      <c r="H8" s="157"/>
    </row>
    <row r="9" spans="1:8" ht="12.75" customHeight="1" x14ac:dyDescent="0.2">
      <c r="A9" s="89" t="str">
        <f>"      "&amp;Labels!B104</f>
        <v xml:space="preserve">      Series B</v>
      </c>
      <c r="B9" s="157">
        <f>Inputs!B23</f>
        <v>0.3</v>
      </c>
      <c r="C9" s="89" t="str">
        <f>"      "&amp;Labels!B104</f>
        <v xml:space="preserve">      Series B</v>
      </c>
      <c r="D9" s="158">
        <f>Inputs!B28</f>
        <v>40634</v>
      </c>
      <c r="E9" s="89" t="str">
        <f>"      "&amp;Labels!B104</f>
        <v xml:space="preserve">      Series B</v>
      </c>
      <c r="F9" s="30">
        <f>Inputs!C28</f>
        <v>1000000</v>
      </c>
      <c r="G9" s="89" t="str">
        <f>"      "&amp;Labels!B104</f>
        <v xml:space="preserve">      Series B</v>
      </c>
      <c r="H9" s="157">
        <f>Inputs!D28</f>
        <v>0.5</v>
      </c>
    </row>
    <row r="10" spans="1:8" ht="12.75" customHeight="1" x14ac:dyDescent="0.2">
      <c r="A10" s="89" t="str">
        <f>"      "&amp;Labels!B105</f>
        <v xml:space="preserve">      Series A</v>
      </c>
      <c r="B10" s="157">
        <f>Inputs!B24</f>
        <v>0.3</v>
      </c>
      <c r="C10" s="89" t="str">
        <f>"      "&amp;Labels!B105</f>
        <v xml:space="preserve">      Series A</v>
      </c>
      <c r="D10" s="158">
        <f>Inputs!B29</f>
        <v>40634</v>
      </c>
      <c r="E10" s="89" t="str">
        <f>"      "&amp;Labels!B105</f>
        <v xml:space="preserve">      Series A</v>
      </c>
      <c r="F10" s="30">
        <f>Inputs!C29</f>
        <v>1000000</v>
      </c>
      <c r="G10" s="89" t="str">
        <f>"      "&amp;Labels!B105</f>
        <v xml:space="preserve">      Series A</v>
      </c>
      <c r="H10" s="157">
        <f>Inputs!D29</f>
        <v>0.5</v>
      </c>
    </row>
    <row r="11" spans="1:8" ht="12.75" customHeight="1" x14ac:dyDescent="0.2">
      <c r="A11" s="28" t="str">
        <f>"   "&amp;Labels!B106</f>
        <v xml:space="preserve">   Preferred</v>
      </c>
      <c r="B11" s="157"/>
      <c r="C11" s="28" t="str">
        <f>"   "&amp;Labels!B106</f>
        <v xml:space="preserve">   Preferred</v>
      </c>
      <c r="D11" s="158"/>
      <c r="E11" s="28" t="str">
        <f>"   "&amp;Labels!B106</f>
        <v xml:space="preserve">   Preferred</v>
      </c>
      <c r="F11" s="30"/>
      <c r="G11" s="28" t="str">
        <f>"   "&amp;Labels!B106</f>
        <v xml:space="preserve">   Preferred</v>
      </c>
      <c r="H11" s="157"/>
    </row>
    <row r="12" spans="1:8" ht="12.75" customHeight="1" x14ac:dyDescent="0.2">
      <c r="A12" s="89" t="str">
        <f>"      "&amp;Labels!B107</f>
        <v xml:space="preserve">      Series A</v>
      </c>
      <c r="B12" s="49">
        <f>0</f>
        <v>0</v>
      </c>
      <c r="C12" s="89" t="str">
        <f>"      "&amp;Labels!B107</f>
        <v xml:space="preserve">      Series A</v>
      </c>
      <c r="D12" s="158">
        <f>Inputs!B57</f>
        <v>40634</v>
      </c>
      <c r="E12" s="89" t="str">
        <f>"      "&amp;Labels!B107</f>
        <v xml:space="preserve">      Series A</v>
      </c>
      <c r="F12" s="30">
        <f>Inputs!C57</f>
        <v>1500000</v>
      </c>
      <c r="G12" s="89" t="str">
        <f>"      "&amp;Labels!B107</f>
        <v xml:space="preserve">      Series A</v>
      </c>
      <c r="H12" s="157">
        <f>Inputs!D57</f>
        <v>0.5</v>
      </c>
    </row>
    <row r="13" spans="1:8" ht="12.75" customHeight="1" x14ac:dyDescent="0.2">
      <c r="A13" s="28" t="str">
        <f>"   "&amp;Labels!B108</f>
        <v xml:space="preserve">   Common</v>
      </c>
      <c r="B13" s="49">
        <f>0</f>
        <v>0</v>
      </c>
      <c r="C13" s="28" t="str">
        <f>"   "&amp;Labels!B108</f>
        <v xml:space="preserve">   Common</v>
      </c>
      <c r="D13" s="159">
        <f>DATE(2011,4,1)</f>
        <v>40634</v>
      </c>
      <c r="E13" s="28" t="str">
        <f>"   "&amp;Labels!B108</f>
        <v xml:space="preserve">   Common</v>
      </c>
      <c r="F13" s="66">
        <f>1500000</f>
        <v>1500000</v>
      </c>
      <c r="G13" s="28" t="str">
        <f>"   "&amp;Labels!B108</f>
        <v xml:space="preserve">   Common</v>
      </c>
      <c r="H13" s="49">
        <f>0.5</f>
        <v>0.5</v>
      </c>
    </row>
    <row r="14" spans="1:8" ht="12.75" customHeight="1" x14ac:dyDescent="0.2">
      <c r="A14" s="28" t="str">
        <f>"   "&amp;Labels!B109</f>
        <v xml:space="preserve">   Warrant</v>
      </c>
      <c r="B14" s="49">
        <f>0</f>
        <v>0</v>
      </c>
      <c r="C14" s="28" t="str">
        <f>"   "&amp;Labels!B109</f>
        <v xml:space="preserve">   Warrant</v>
      </c>
      <c r="D14" s="159">
        <f>DATE(2011,4,1)</f>
        <v>40634</v>
      </c>
      <c r="E14" s="28" t="str">
        <f>"   "&amp;Labels!B109</f>
        <v xml:space="preserve">   Warrant</v>
      </c>
      <c r="F14" s="66">
        <f>1500000</f>
        <v>1500000</v>
      </c>
      <c r="G14" s="28" t="str">
        <f>"   "&amp;Labels!B109</f>
        <v xml:space="preserve">   Warrant</v>
      </c>
      <c r="H14" s="49">
        <f>0.5</f>
        <v>0.5</v>
      </c>
    </row>
    <row r="15" spans="1:8" ht="12.75" customHeight="1" x14ac:dyDescent="0.2">
      <c r="A15" s="28" t="str">
        <f>"   "&amp;Labels!B110</f>
        <v xml:space="preserve">   Option</v>
      </c>
      <c r="B15" s="157"/>
      <c r="C15" s="28" t="str">
        <f>"   "&amp;Labels!B110</f>
        <v xml:space="preserve">   Option</v>
      </c>
      <c r="D15" s="158"/>
      <c r="E15" s="28" t="str">
        <f>"   "&amp;Labels!B110</f>
        <v xml:space="preserve">   Option</v>
      </c>
      <c r="F15" s="30"/>
      <c r="G15" s="28" t="str">
        <f>"   "&amp;Labels!B110</f>
        <v xml:space="preserve">   Option</v>
      </c>
      <c r="H15" s="157"/>
    </row>
    <row r="16" spans="1:8" ht="12.75" customHeight="1" x14ac:dyDescent="0.2">
      <c r="A16" s="89" t="str">
        <f>"      "&amp;Labels!B111</f>
        <v xml:space="preserve">      Series B</v>
      </c>
      <c r="B16" s="49">
        <f>0</f>
        <v>0</v>
      </c>
      <c r="C16" s="89" t="str">
        <f>"      "&amp;Labels!B111</f>
        <v xml:space="preserve">      Series B</v>
      </c>
      <c r="D16" s="158">
        <f>Inputs!C101</f>
        <v>40634</v>
      </c>
      <c r="E16" s="89" t="str">
        <f>"      "&amp;Labels!B111</f>
        <v xml:space="preserve">      Series B</v>
      </c>
      <c r="F16" s="30">
        <f>Inputs!D101</f>
        <v>1500000</v>
      </c>
      <c r="G16" s="89" t="str">
        <f>"      "&amp;Labels!B111</f>
        <v xml:space="preserve">      Series B</v>
      </c>
      <c r="H16" s="157">
        <f>Inputs!E101</f>
        <v>0.5</v>
      </c>
    </row>
    <row r="17" spans="1:8" ht="12.75" customHeight="1" x14ac:dyDescent="0.2">
      <c r="A17" s="101" t="str">
        <f>"      "&amp;Labels!B112</f>
        <v xml:space="preserve">      Series A</v>
      </c>
      <c r="B17" s="50">
        <f>0</f>
        <v>0</v>
      </c>
      <c r="C17" s="101" t="str">
        <f>"      "&amp;Labels!B112</f>
        <v xml:space="preserve">      Series A</v>
      </c>
      <c r="D17" s="160">
        <f>Inputs!C102</f>
        <v>40634</v>
      </c>
      <c r="E17" s="101" t="str">
        <f>"      "&amp;Labels!B112</f>
        <v xml:space="preserve">      Series A</v>
      </c>
      <c r="F17" s="32">
        <f>Inputs!D102</f>
        <v>1500000</v>
      </c>
      <c r="G17" s="101" t="str">
        <f>"      "&amp;Labels!B112</f>
        <v xml:space="preserve">      Series A</v>
      </c>
      <c r="H17" s="161">
        <f>Inputs!E102</f>
        <v>0.5</v>
      </c>
    </row>
    <row r="19" spans="1:8" ht="12.75" customHeight="1" x14ac:dyDescent="0.2">
      <c r="A19" s="11" t="str">
        <f>Labels!B19</f>
        <v>Dividend % (Yr)</v>
      </c>
      <c r="B19" s="162"/>
      <c r="C19" s="11" t="str">
        <f>Labels!B69</f>
        <v>New Unit Price %</v>
      </c>
      <c r="D19" s="48"/>
      <c r="E19" s="11" t="str">
        <f>Labels!B47</f>
        <v>Liq Multiple</v>
      </c>
      <c r="F19" s="163"/>
      <c r="G19" s="11" t="str">
        <f>Labels!B8</f>
        <v>Liq Premium %</v>
      </c>
      <c r="H19" s="164"/>
    </row>
    <row r="20" spans="1:8" ht="12.75" customHeight="1" x14ac:dyDescent="0.2">
      <c r="A20" s="28" t="str">
        <f>"   "&amp;Labels!B103</f>
        <v xml:space="preserve">   Conv Note</v>
      </c>
      <c r="B20" s="165"/>
      <c r="C20" s="28" t="str">
        <f>"   "&amp;Labels!B103</f>
        <v xml:space="preserve">   Conv Note</v>
      </c>
      <c r="D20" s="157"/>
      <c r="E20" s="28" t="str">
        <f>"   "&amp;Labels!B103</f>
        <v xml:space="preserve">   Conv Note</v>
      </c>
      <c r="F20" s="166"/>
      <c r="G20" s="28" t="str">
        <f>"   "&amp;Labels!B103</f>
        <v xml:space="preserve">   Conv Note</v>
      </c>
      <c r="H20" s="167"/>
    </row>
    <row r="21" spans="1:8" ht="12.75" customHeight="1" x14ac:dyDescent="0.2">
      <c r="A21" s="89" t="str">
        <f>"      "&amp;Labels!B104</f>
        <v xml:space="preserve">      Series B</v>
      </c>
      <c r="B21" s="165">
        <f>Inputs!D23</f>
        <v>0.04</v>
      </c>
      <c r="C21" s="89" t="str">
        <f>"      "&amp;Labels!B104</f>
        <v xml:space="preserve">      Series B</v>
      </c>
      <c r="D21" s="49">
        <f>1</f>
        <v>1</v>
      </c>
      <c r="E21" s="89" t="str">
        <f>"      "&amp;Labels!B104</f>
        <v xml:space="preserve">      Series B</v>
      </c>
      <c r="F21" s="166">
        <f>Inputs!C23</f>
        <v>1</v>
      </c>
      <c r="G21" s="89" t="str">
        <f>"      "&amp;Labels!B104</f>
        <v xml:space="preserve">      Series B</v>
      </c>
      <c r="H21" s="167">
        <f>Inputs!E28</f>
        <v>0.2</v>
      </c>
    </row>
    <row r="22" spans="1:8" ht="12.75" customHeight="1" x14ac:dyDescent="0.2">
      <c r="A22" s="89" t="str">
        <f>"      "&amp;Labels!B105</f>
        <v xml:space="preserve">      Series A</v>
      </c>
      <c r="B22" s="165">
        <f>Inputs!D24</f>
        <v>0.04</v>
      </c>
      <c r="C22" s="89" t="str">
        <f>"      "&amp;Labels!B105</f>
        <v xml:space="preserve">      Series A</v>
      </c>
      <c r="D22" s="49">
        <f>1</f>
        <v>1</v>
      </c>
      <c r="E22" s="89" t="str">
        <f>"      "&amp;Labels!B105</f>
        <v xml:space="preserve">      Series A</v>
      </c>
      <c r="F22" s="166">
        <f>Inputs!C24</f>
        <v>1</v>
      </c>
      <c r="G22" s="89" t="str">
        <f>"      "&amp;Labels!B105</f>
        <v xml:space="preserve">      Series A</v>
      </c>
      <c r="H22" s="167">
        <f>Inputs!E29</f>
        <v>0.2</v>
      </c>
    </row>
    <row r="23" spans="1:8" ht="12.75" customHeight="1" x14ac:dyDescent="0.2">
      <c r="A23" s="28" t="str">
        <f>"   "&amp;Labels!B106</f>
        <v xml:space="preserve">   Preferred</v>
      </c>
      <c r="B23" s="165"/>
      <c r="C23" s="28" t="str">
        <f>"   "&amp;Labels!B106</f>
        <v xml:space="preserve">   Preferred</v>
      </c>
      <c r="D23" s="157"/>
      <c r="E23" s="28" t="str">
        <f>"   "&amp;Labels!B106</f>
        <v xml:space="preserve">   Preferred</v>
      </c>
      <c r="F23" s="166"/>
      <c r="G23" s="28" t="str">
        <f>"   "&amp;Labels!B106</f>
        <v xml:space="preserve">   Preferred</v>
      </c>
      <c r="H23" s="167"/>
    </row>
    <row r="24" spans="1:8" ht="12.75" customHeight="1" x14ac:dyDescent="0.2">
      <c r="A24" s="89" t="str">
        <f>"      "&amp;Labels!B107</f>
        <v xml:space="preserve">      Series A</v>
      </c>
      <c r="B24" s="165">
        <f>Inputs!C53</f>
        <v>0.06</v>
      </c>
      <c r="C24" s="89" t="str">
        <f>"      "&amp;Labels!B107</f>
        <v xml:space="preserve">      Series A</v>
      </c>
      <c r="D24" s="49">
        <f>1</f>
        <v>1</v>
      </c>
      <c r="E24" s="89" t="str">
        <f>"      "&amp;Labels!B107</f>
        <v xml:space="preserve">      Series A</v>
      </c>
      <c r="F24" s="166">
        <f>Inputs!B53</f>
        <v>1</v>
      </c>
      <c r="G24" s="89" t="str">
        <f>"      "&amp;Labels!B107</f>
        <v xml:space="preserve">      Series A</v>
      </c>
      <c r="H24" s="167">
        <f>Inputs!E57</f>
        <v>-0.2</v>
      </c>
    </row>
    <row r="25" spans="1:8" ht="12.75" customHeight="1" x14ac:dyDescent="0.2">
      <c r="A25" s="28" t="str">
        <f>"   "&amp;Labels!B108</f>
        <v xml:space="preserve">   Common</v>
      </c>
      <c r="B25" s="168">
        <f>0</f>
        <v>0</v>
      </c>
      <c r="C25" s="28" t="str">
        <f>"   "&amp;Labels!B108</f>
        <v xml:space="preserve">   Common</v>
      </c>
      <c r="D25" s="49">
        <f>1</f>
        <v>1</v>
      </c>
      <c r="E25" s="28" t="str">
        <f>"   "&amp;Labels!B108</f>
        <v xml:space="preserve">   Common</v>
      </c>
      <c r="F25" s="169">
        <f>0</f>
        <v>0</v>
      </c>
      <c r="G25" s="28" t="str">
        <f>"   "&amp;Labels!B108</f>
        <v xml:space="preserve">   Common</v>
      </c>
      <c r="H25" s="170">
        <f>0</f>
        <v>0</v>
      </c>
    </row>
    <row r="26" spans="1:8" ht="12.75" customHeight="1" x14ac:dyDescent="0.2">
      <c r="A26" s="28" t="str">
        <f>"   "&amp;Labels!B109</f>
        <v xml:space="preserve">   Warrant</v>
      </c>
      <c r="B26" s="168">
        <f>0</f>
        <v>0</v>
      </c>
      <c r="C26" s="28" t="str">
        <f>"   "&amp;Labels!B109</f>
        <v xml:space="preserve">   Warrant</v>
      </c>
      <c r="D26" s="49">
        <f>1</f>
        <v>1</v>
      </c>
      <c r="E26" s="28" t="str">
        <f>"   "&amp;Labels!B109</f>
        <v xml:space="preserve">   Warrant</v>
      </c>
      <c r="F26" s="169">
        <f>0</f>
        <v>0</v>
      </c>
      <c r="G26" s="28" t="str">
        <f>"   "&amp;Labels!B109</f>
        <v xml:space="preserve">   Warrant</v>
      </c>
      <c r="H26" s="170">
        <f>0</f>
        <v>0</v>
      </c>
    </row>
    <row r="27" spans="1:8" ht="12.75" customHeight="1" x14ac:dyDescent="0.2">
      <c r="A27" s="28" t="str">
        <f>"   "&amp;Labels!B110</f>
        <v xml:space="preserve">   Option</v>
      </c>
      <c r="B27" s="165"/>
      <c r="C27" s="28" t="str">
        <f>"   "&amp;Labels!B110</f>
        <v xml:space="preserve">   Option</v>
      </c>
      <c r="D27" s="157"/>
      <c r="E27" s="28" t="str">
        <f>"   "&amp;Labels!B110</f>
        <v xml:space="preserve">   Option</v>
      </c>
      <c r="F27" s="166"/>
      <c r="G27" s="28" t="str">
        <f>"   "&amp;Labels!B110</f>
        <v xml:space="preserve">   Option</v>
      </c>
      <c r="H27" s="167"/>
    </row>
    <row r="28" spans="1:8" ht="12.75" customHeight="1" x14ac:dyDescent="0.2">
      <c r="A28" s="89" t="str">
        <f>"      "&amp;Labels!B111</f>
        <v xml:space="preserve">      Series B</v>
      </c>
      <c r="B28" s="168">
        <f>0</f>
        <v>0</v>
      </c>
      <c r="C28" s="89" t="str">
        <f>"      "&amp;Labels!B111</f>
        <v xml:space="preserve">      Series B</v>
      </c>
      <c r="D28" s="157">
        <f>Inputs!B91</f>
        <v>1</v>
      </c>
      <c r="E28" s="89" t="str">
        <f>"      "&amp;Labels!B111</f>
        <v xml:space="preserve">      Series B</v>
      </c>
      <c r="F28" s="169">
        <f>0</f>
        <v>0</v>
      </c>
      <c r="G28" s="89" t="str">
        <f>"      "&amp;Labels!B111</f>
        <v xml:space="preserve">      Series B</v>
      </c>
      <c r="H28" s="170">
        <f>0</f>
        <v>0</v>
      </c>
    </row>
    <row r="29" spans="1:8" ht="12.75" customHeight="1" x14ac:dyDescent="0.2">
      <c r="A29" s="101" t="str">
        <f>"      "&amp;Labels!B112</f>
        <v xml:space="preserve">      Series A</v>
      </c>
      <c r="B29" s="171">
        <f>0</f>
        <v>0</v>
      </c>
      <c r="C29" s="101" t="str">
        <f>"      "&amp;Labels!B112</f>
        <v xml:space="preserve">      Series A</v>
      </c>
      <c r="D29" s="161">
        <f>Inputs!B92</f>
        <v>1</v>
      </c>
      <c r="E29" s="101" t="str">
        <f>"      "&amp;Labels!B112</f>
        <v xml:space="preserve">      Series A</v>
      </c>
      <c r="F29" s="172">
        <f>0</f>
        <v>0</v>
      </c>
      <c r="G29" s="101" t="str">
        <f>"      "&amp;Labels!B112</f>
        <v xml:space="preserve">      Series A</v>
      </c>
      <c r="H29" s="173">
        <f>0</f>
        <v>0</v>
      </c>
    </row>
    <row r="32" spans="1:8" ht="12.75" customHeight="1" x14ac:dyDescent="0.2">
      <c r="B32" s="6" t="str">
        <f>Labels!B98</f>
        <v>Seed</v>
      </c>
      <c r="C32" s="7" t="str">
        <f>Labels!B99</f>
        <v>Round A</v>
      </c>
      <c r="D32" s="8" t="str">
        <f>Labels!B100</f>
        <v>Exit</v>
      </c>
    </row>
    <row r="33" spans="1:5" ht="12.75" customHeight="1" x14ac:dyDescent="0.2">
      <c r="A33" s="11" t="str">
        <f>Labels!B66</f>
        <v>Price Premium %</v>
      </c>
      <c r="B33" s="33"/>
      <c r="C33" s="33"/>
      <c r="D33" s="34"/>
    </row>
    <row r="34" spans="1:5" ht="12.75" customHeight="1" x14ac:dyDescent="0.2">
      <c r="A34" s="28" t="str">
        <f>"   "&amp;Labels!B103</f>
        <v xml:space="preserve">   Conv Note</v>
      </c>
      <c r="B34" s="174"/>
      <c r="C34" s="174"/>
      <c r="D34" s="175"/>
    </row>
    <row r="35" spans="1:5" ht="12.75" customHeight="1" x14ac:dyDescent="0.2">
      <c r="A35" s="89" t="str">
        <f>"      "&amp;Labels!B104</f>
        <v xml:space="preserve">      Series B</v>
      </c>
      <c r="B35" s="176">
        <f>0</f>
        <v>0</v>
      </c>
      <c r="C35" s="176">
        <f>B35</f>
        <v>0</v>
      </c>
      <c r="D35" s="177">
        <f>C35</f>
        <v>0</v>
      </c>
    </row>
    <row r="36" spans="1:5" ht="12.75" customHeight="1" x14ac:dyDescent="0.2">
      <c r="A36" s="89" t="str">
        <f>"      "&amp;Labels!B105</f>
        <v xml:space="preserve">      Series A</v>
      </c>
      <c r="B36" s="176">
        <f>0</f>
        <v>0</v>
      </c>
      <c r="C36" s="176">
        <f>B36</f>
        <v>0</v>
      </c>
      <c r="D36" s="177">
        <f>C36</f>
        <v>0</v>
      </c>
    </row>
    <row r="37" spans="1:5" ht="12.75" customHeight="1" x14ac:dyDescent="0.2">
      <c r="A37" s="28" t="str">
        <f>"   "&amp;Labels!B106</f>
        <v xml:space="preserve">   Preferred</v>
      </c>
      <c r="B37" s="174"/>
      <c r="C37" s="174"/>
      <c r="D37" s="175"/>
    </row>
    <row r="38" spans="1:5" ht="12.75" customHeight="1" x14ac:dyDescent="0.2">
      <c r="A38" s="89" t="str">
        <f>"      "&amp;Labels!B107</f>
        <v xml:space="preserve">      Series A</v>
      </c>
      <c r="B38" s="178">
        <f>Inputs!B50</f>
        <v>0.1</v>
      </c>
      <c r="C38" s="178">
        <f>Inputs!C50</f>
        <v>0.1</v>
      </c>
      <c r="D38" s="179">
        <f>Inputs!D50</f>
        <v>0.1</v>
      </c>
    </row>
    <row r="39" spans="1:5" ht="12.75" customHeight="1" x14ac:dyDescent="0.2">
      <c r="A39" s="28" t="str">
        <f>"   "&amp;Labels!B108</f>
        <v xml:space="preserve">   Common</v>
      </c>
      <c r="B39" s="180">
        <f>0</f>
        <v>0</v>
      </c>
      <c r="C39" s="180">
        <f>B39</f>
        <v>0</v>
      </c>
      <c r="D39" s="181">
        <f>C39</f>
        <v>0</v>
      </c>
    </row>
    <row r="40" spans="1:5" ht="12.75" customHeight="1" x14ac:dyDescent="0.2">
      <c r="A40" s="28" t="str">
        <f>"   "&amp;Labels!B109</f>
        <v xml:space="preserve">   Warrant</v>
      </c>
      <c r="B40" s="180">
        <f>0</f>
        <v>0</v>
      </c>
      <c r="C40" s="180">
        <f>B40</f>
        <v>0</v>
      </c>
      <c r="D40" s="181">
        <f>C40</f>
        <v>0</v>
      </c>
    </row>
    <row r="41" spans="1:5" ht="12.75" customHeight="1" x14ac:dyDescent="0.2">
      <c r="A41" s="28" t="str">
        <f>"   "&amp;Labels!B110</f>
        <v xml:space="preserve">   Option</v>
      </c>
      <c r="B41" s="174"/>
      <c r="C41" s="174"/>
      <c r="D41" s="175"/>
    </row>
    <row r="42" spans="1:5" ht="12.75" customHeight="1" x14ac:dyDescent="0.2">
      <c r="A42" s="89" t="str">
        <f>"      "&amp;Labels!B111</f>
        <v xml:space="preserve">      Series B</v>
      </c>
      <c r="B42" s="176">
        <f>0</f>
        <v>0</v>
      </c>
      <c r="C42" s="176">
        <f>B42</f>
        <v>0</v>
      </c>
      <c r="D42" s="177">
        <f>C42</f>
        <v>0</v>
      </c>
    </row>
    <row r="43" spans="1:5" ht="12.75" customHeight="1" x14ac:dyDescent="0.2">
      <c r="A43" s="101" t="str">
        <f>"      "&amp;Labels!B112</f>
        <v xml:space="preserve">      Series A</v>
      </c>
      <c r="B43" s="36">
        <f>0</f>
        <v>0</v>
      </c>
      <c r="C43" s="36">
        <f>B43</f>
        <v>0</v>
      </c>
      <c r="D43" s="37">
        <f>C43</f>
        <v>0</v>
      </c>
    </row>
    <row r="45" spans="1:5" ht="12.75" customHeight="1" x14ac:dyDescent="0.2">
      <c r="A45" s="11" t="str">
        <f>Labels!B43</f>
        <v>New Investment</v>
      </c>
      <c r="B45" s="26"/>
      <c r="C45" s="26"/>
      <c r="D45" s="26"/>
      <c r="E45" s="27"/>
    </row>
    <row r="46" spans="1:5" ht="12.75" customHeight="1" x14ac:dyDescent="0.2">
      <c r="A46" s="28" t="str">
        <f>"   "&amp;Labels!B103</f>
        <v xml:space="preserve">   Conv Note</v>
      </c>
      <c r="B46" s="70"/>
      <c r="C46" s="70"/>
      <c r="D46" s="70"/>
      <c r="E46" s="30"/>
    </row>
    <row r="47" spans="1:5" ht="12.75" customHeight="1" x14ac:dyDescent="0.2">
      <c r="A47" s="89" t="str">
        <f>"      "&amp;Labels!B104</f>
        <v xml:space="preserve">      Series B</v>
      </c>
      <c r="B47" s="91">
        <f>Inputs!B38</f>
        <v>0</v>
      </c>
      <c r="C47" s="91">
        <f>Inputs!C38</f>
        <v>0</v>
      </c>
      <c r="D47" s="91">
        <f>Inputs!D38</f>
        <v>0</v>
      </c>
      <c r="E47" s="30">
        <f>SUM(B47:D47)</f>
        <v>0</v>
      </c>
    </row>
    <row r="48" spans="1:5" ht="12.75" customHeight="1" x14ac:dyDescent="0.2">
      <c r="A48" s="89" t="str">
        <f>"      "&amp;Labels!B105</f>
        <v xml:space="preserve">      Series A</v>
      </c>
      <c r="B48" s="91">
        <f>Inputs!B39</f>
        <v>0</v>
      </c>
      <c r="C48" s="91">
        <f>Inputs!C39</f>
        <v>0</v>
      </c>
      <c r="D48" s="91">
        <f>Inputs!D39</f>
        <v>0</v>
      </c>
      <c r="E48" s="30">
        <f>SUM(B48:D48)</f>
        <v>0</v>
      </c>
    </row>
    <row r="49" spans="1:5" ht="12.75" customHeight="1" x14ac:dyDescent="0.2">
      <c r="A49" s="28" t="str">
        <f>"      "&amp;Labels!C103</f>
        <v xml:space="preserve">      Subtotal</v>
      </c>
      <c r="B49" s="70">
        <f>SUM(B47:B48)</f>
        <v>0</v>
      </c>
      <c r="C49" s="70">
        <f>SUM(C47:C48)</f>
        <v>0</v>
      </c>
      <c r="D49" s="70">
        <f>SUM(D47:D48)</f>
        <v>0</v>
      </c>
      <c r="E49" s="30">
        <f>SUM(E47:E48)</f>
        <v>0</v>
      </c>
    </row>
    <row r="50" spans="1:5" ht="12.75" customHeight="1" x14ac:dyDescent="0.2">
      <c r="A50" s="28" t="str">
        <f>"   "&amp;Labels!B106</f>
        <v xml:space="preserve">   Preferred</v>
      </c>
      <c r="B50" s="70"/>
      <c r="C50" s="70"/>
      <c r="D50" s="70"/>
      <c r="E50" s="30"/>
    </row>
    <row r="51" spans="1:5" ht="12.75" customHeight="1" x14ac:dyDescent="0.2">
      <c r="A51" s="89" t="str">
        <f>"      "&amp;Labels!B107</f>
        <v xml:space="preserve">      Series A</v>
      </c>
      <c r="B51" s="91">
        <f>Inputs!B65</f>
        <v>0</v>
      </c>
      <c r="C51" s="91">
        <f>Inputs!C65</f>
        <v>0</v>
      </c>
      <c r="D51" s="91">
        <f>Inputs!D65</f>
        <v>0</v>
      </c>
      <c r="E51" s="30">
        <f>SUM(B51:D51)</f>
        <v>0</v>
      </c>
    </row>
    <row r="52" spans="1:5" ht="12.75" customHeight="1" x14ac:dyDescent="0.2">
      <c r="A52" s="28" t="str">
        <f>"      "&amp;Labels!C106</f>
        <v xml:space="preserve">      Subtotal</v>
      </c>
      <c r="B52" s="70">
        <f>Inputs!B65</f>
        <v>0</v>
      </c>
      <c r="C52" s="70">
        <f>Inputs!C65</f>
        <v>0</v>
      </c>
      <c r="D52" s="70">
        <f>Inputs!D65</f>
        <v>0</v>
      </c>
      <c r="E52" s="30">
        <f>Inputs!E65</f>
        <v>0</v>
      </c>
    </row>
    <row r="53" spans="1:5" ht="12.75" customHeight="1" x14ac:dyDescent="0.2">
      <c r="A53" s="28" t="str">
        <f>"   "&amp;Labels!B108</f>
        <v xml:space="preserve">   Common</v>
      </c>
      <c r="B53" s="70">
        <f>Inputs!B83</f>
        <v>1</v>
      </c>
      <c r="C53" s="70">
        <f>Inputs!C83</f>
        <v>0</v>
      </c>
      <c r="D53" s="70">
        <f>Inputs!D83</f>
        <v>0</v>
      </c>
      <c r="E53" s="30">
        <f>SUM(B53:D53)</f>
        <v>1</v>
      </c>
    </row>
    <row r="54" spans="1:5" ht="12.75" customHeight="1" x14ac:dyDescent="0.2">
      <c r="A54" s="28" t="str">
        <f>"   "&amp;Labels!B109</f>
        <v xml:space="preserve">   Warrant</v>
      </c>
      <c r="B54" s="182">
        <f>0</f>
        <v>0</v>
      </c>
      <c r="C54" s="182">
        <f>0</f>
        <v>0</v>
      </c>
      <c r="D54" s="182">
        <f>0</f>
        <v>0</v>
      </c>
      <c r="E54" s="30">
        <f>SUM(B54:D54)</f>
        <v>0</v>
      </c>
    </row>
    <row r="55" spans="1:5" ht="12.75" customHeight="1" x14ac:dyDescent="0.2">
      <c r="A55" s="28" t="str">
        <f>"   "&amp;Labels!B110</f>
        <v xml:space="preserve">   Option</v>
      </c>
      <c r="B55" s="70"/>
      <c r="C55" s="70"/>
      <c r="D55" s="70"/>
      <c r="E55" s="30"/>
    </row>
    <row r="56" spans="1:5" ht="12.75" customHeight="1" x14ac:dyDescent="0.2">
      <c r="A56" s="89" t="str">
        <f>"      "&amp;Labels!B111</f>
        <v xml:space="preserve">      Series B</v>
      </c>
      <c r="B56" s="29">
        <f>0</f>
        <v>0</v>
      </c>
      <c r="C56" s="29">
        <f>0</f>
        <v>0</v>
      </c>
      <c r="D56" s="29">
        <f>0</f>
        <v>0</v>
      </c>
      <c r="E56" s="30">
        <f>SUM(B56:D56)</f>
        <v>0</v>
      </c>
    </row>
    <row r="57" spans="1:5" ht="12.75" customHeight="1" x14ac:dyDescent="0.2">
      <c r="A57" s="89" t="str">
        <f>"      "&amp;Labels!B112</f>
        <v xml:space="preserve">      Series A</v>
      </c>
      <c r="B57" s="29">
        <f>0</f>
        <v>0</v>
      </c>
      <c r="C57" s="29">
        <f>0</f>
        <v>0</v>
      </c>
      <c r="D57" s="29">
        <f>0</f>
        <v>0</v>
      </c>
      <c r="E57" s="30">
        <f>SUM(B57:D57)</f>
        <v>0</v>
      </c>
    </row>
    <row r="58" spans="1:5" ht="12.75" customHeight="1" x14ac:dyDescent="0.2">
      <c r="A58" s="28" t="str">
        <f>"      "&amp;Labels!C110</f>
        <v xml:space="preserve">      Subtotal</v>
      </c>
      <c r="B58" s="70">
        <f>SUM(B56:B57)</f>
        <v>0</v>
      </c>
      <c r="C58" s="70">
        <f>SUM(C56:C57)</f>
        <v>0</v>
      </c>
      <c r="D58" s="70">
        <f>SUM(D56:D57)</f>
        <v>0</v>
      </c>
      <c r="E58" s="30">
        <f>SUM(E56:E57)</f>
        <v>0</v>
      </c>
    </row>
    <row r="59" spans="1:5" ht="12.75" customHeight="1" x14ac:dyDescent="0.2">
      <c r="A59" s="15" t="str">
        <f>"   "&amp;Labels!C102</f>
        <v xml:space="preserve">   Total</v>
      </c>
      <c r="B59" s="31">
        <f>SUM(B49,B52:B54,B58)</f>
        <v>1</v>
      </c>
      <c r="C59" s="31">
        <f>SUM(C49,C52:C54,C58)</f>
        <v>0</v>
      </c>
      <c r="D59" s="31">
        <f>SUM(D49,D52:D54,D58)</f>
        <v>0</v>
      </c>
      <c r="E59" s="32">
        <f>SUM(E49,E52:E54,E58)</f>
        <v>1</v>
      </c>
    </row>
    <row r="61" spans="1:5" ht="12.75" customHeight="1" x14ac:dyDescent="0.2">
      <c r="A61" s="11" t="str">
        <f>Labels!B80</f>
        <v>New Units</v>
      </c>
      <c r="B61" s="60"/>
      <c r="C61" s="60"/>
      <c r="D61" s="60"/>
      <c r="E61" s="61"/>
    </row>
    <row r="62" spans="1:5" ht="12.75" customHeight="1" x14ac:dyDescent="0.2">
      <c r="A62" s="28" t="str">
        <f>"   "&amp;Labels!B103</f>
        <v xml:space="preserve">   Conv Note</v>
      </c>
      <c r="B62" s="97"/>
      <c r="C62" s="97"/>
      <c r="D62" s="97"/>
      <c r="E62" s="63"/>
    </row>
    <row r="63" spans="1:5" ht="12.75" customHeight="1" x14ac:dyDescent="0.2">
      <c r="A63" s="89" t="str">
        <f>"      "&amp;Labels!B104</f>
        <v xml:space="preserve">      Series B</v>
      </c>
      <c r="B63" s="62">
        <f t="shared" ref="B63:D64" si="0">0/3/10</f>
        <v>0</v>
      </c>
      <c r="C63" s="62">
        <f t="shared" si="0"/>
        <v>0</v>
      </c>
      <c r="D63" s="62">
        <f t="shared" si="0"/>
        <v>0</v>
      </c>
      <c r="E63" s="63">
        <f>SUM(B63:D63)</f>
        <v>0</v>
      </c>
    </row>
    <row r="64" spans="1:5" ht="12.75" customHeight="1" x14ac:dyDescent="0.2">
      <c r="A64" s="89" t="str">
        <f>"      "&amp;Labels!B105</f>
        <v xml:space="preserve">      Series A</v>
      </c>
      <c r="B64" s="62">
        <f t="shared" si="0"/>
        <v>0</v>
      </c>
      <c r="C64" s="62">
        <f t="shared" si="0"/>
        <v>0</v>
      </c>
      <c r="D64" s="62">
        <f t="shared" si="0"/>
        <v>0</v>
      </c>
      <c r="E64" s="63">
        <f>SUM(B64:D64)</f>
        <v>0</v>
      </c>
    </row>
    <row r="65" spans="1:5" ht="12.75" customHeight="1" x14ac:dyDescent="0.2">
      <c r="A65" s="28" t="str">
        <f>"      "&amp;Labels!C103</f>
        <v xml:space="preserve">      Subtotal</v>
      </c>
      <c r="B65" s="97">
        <f>SUM(B63:B64)</f>
        <v>0</v>
      </c>
      <c r="C65" s="97">
        <f>SUM(C63:C64)</f>
        <v>0</v>
      </c>
      <c r="D65" s="97">
        <f>SUM(D63:D64)</f>
        <v>0</v>
      </c>
      <c r="E65" s="63">
        <f>SUM(E63:E64)</f>
        <v>0</v>
      </c>
    </row>
    <row r="66" spans="1:5" ht="12.75" customHeight="1" x14ac:dyDescent="0.2">
      <c r="A66" s="28" t="str">
        <f>"   "&amp;Labels!B106</f>
        <v xml:space="preserve">   Preferred</v>
      </c>
      <c r="B66" s="97"/>
      <c r="C66" s="97"/>
      <c r="D66" s="97"/>
      <c r="E66" s="63"/>
    </row>
    <row r="67" spans="1:5" ht="12.75" customHeight="1" x14ac:dyDescent="0.2">
      <c r="A67" s="89" t="str">
        <f>"      "&amp;Labels!B107</f>
        <v xml:space="preserve">      Series A</v>
      </c>
      <c r="B67" s="62">
        <f>0/3/5</f>
        <v>0</v>
      </c>
      <c r="C67" s="62">
        <f>0/3/5</f>
        <v>0</v>
      </c>
      <c r="D67" s="62">
        <f>0/3/5</f>
        <v>0</v>
      </c>
      <c r="E67" s="63">
        <f>SUM(B67:D67)</f>
        <v>0</v>
      </c>
    </row>
    <row r="68" spans="1:5" ht="12.75" customHeight="1" x14ac:dyDescent="0.2">
      <c r="A68" s="28" t="str">
        <f>"      "&amp;Labels!C106</f>
        <v xml:space="preserve">      Subtotal</v>
      </c>
      <c r="B68" s="97">
        <f>B67</f>
        <v>0</v>
      </c>
      <c r="C68" s="97">
        <f>C67</f>
        <v>0</v>
      </c>
      <c r="D68" s="97">
        <f>D67</f>
        <v>0</v>
      </c>
      <c r="E68" s="63">
        <f>E67</f>
        <v>0</v>
      </c>
    </row>
    <row r="69" spans="1:5" ht="12.75" customHeight="1" x14ac:dyDescent="0.2">
      <c r="A69" s="28" t="str">
        <f>"   "&amp;Labels!B108</f>
        <v xml:space="preserve">   Common</v>
      </c>
      <c r="B69" s="183">
        <f t="shared" ref="B69:D70" si="1">0/3/5</f>
        <v>0</v>
      </c>
      <c r="C69" s="183">
        <f t="shared" si="1"/>
        <v>0</v>
      </c>
      <c r="D69" s="183">
        <f t="shared" si="1"/>
        <v>0</v>
      </c>
      <c r="E69" s="63">
        <f>SUM(B69:D69)</f>
        <v>0</v>
      </c>
    </row>
    <row r="70" spans="1:5" ht="12.75" customHeight="1" x14ac:dyDescent="0.2">
      <c r="A70" s="28" t="str">
        <f>"   "&amp;Labels!B109</f>
        <v xml:space="preserve">   Warrant</v>
      </c>
      <c r="B70" s="183">
        <f t="shared" si="1"/>
        <v>0</v>
      </c>
      <c r="C70" s="183">
        <f t="shared" si="1"/>
        <v>0</v>
      </c>
      <c r="D70" s="183">
        <f t="shared" si="1"/>
        <v>0</v>
      </c>
      <c r="E70" s="63">
        <f>SUM(B70:D70)</f>
        <v>0</v>
      </c>
    </row>
    <row r="71" spans="1:5" ht="12.75" customHeight="1" x14ac:dyDescent="0.2">
      <c r="A71" s="28" t="str">
        <f>"   "&amp;Labels!B110</f>
        <v xml:space="preserve">   Option</v>
      </c>
      <c r="B71" s="97"/>
      <c r="C71" s="97"/>
      <c r="D71" s="97"/>
      <c r="E71" s="63"/>
    </row>
    <row r="72" spans="1:5" ht="12.75" customHeight="1" x14ac:dyDescent="0.2">
      <c r="A72" s="89" t="str">
        <f>"      "&amp;Labels!B111</f>
        <v xml:space="preserve">      Series B</v>
      </c>
      <c r="B72" s="104">
        <f>Inputs!B112</f>
        <v>0</v>
      </c>
      <c r="C72" s="104">
        <f>Inputs!C112</f>
        <v>0</v>
      </c>
      <c r="D72" s="104">
        <f>Inputs!D112</f>
        <v>0</v>
      </c>
      <c r="E72" s="63">
        <f>SUM(B72:D72)</f>
        <v>0</v>
      </c>
    </row>
    <row r="73" spans="1:5" ht="12.75" customHeight="1" x14ac:dyDescent="0.2">
      <c r="A73" s="89" t="str">
        <f>"      "&amp;Labels!B112</f>
        <v xml:space="preserve">      Series A</v>
      </c>
      <c r="B73" s="104">
        <f>Inputs!B113</f>
        <v>0</v>
      </c>
      <c r="C73" s="104">
        <f>Inputs!C113</f>
        <v>0</v>
      </c>
      <c r="D73" s="104">
        <f>Inputs!D113</f>
        <v>0</v>
      </c>
      <c r="E73" s="63">
        <f>SUM(B73:D73)</f>
        <v>0</v>
      </c>
    </row>
    <row r="74" spans="1:5" ht="12.75" customHeight="1" x14ac:dyDescent="0.2">
      <c r="A74" s="28" t="str">
        <f>"      "&amp;Labels!C110</f>
        <v xml:space="preserve">      Subtotal</v>
      </c>
      <c r="B74" s="97">
        <f>SUM(B72:B73)</f>
        <v>0</v>
      </c>
      <c r="C74" s="97">
        <f>SUM(C72:C73)</f>
        <v>0</v>
      </c>
      <c r="D74" s="97">
        <f>SUM(D72:D73)</f>
        <v>0</v>
      </c>
      <c r="E74" s="63">
        <f>SUM(E72:E73)</f>
        <v>0</v>
      </c>
    </row>
    <row r="75" spans="1:5" ht="12.75" customHeight="1" x14ac:dyDescent="0.2">
      <c r="A75" s="15" t="str">
        <f>"   "&amp;Labels!C102</f>
        <v xml:space="preserve">   Total</v>
      </c>
      <c r="B75" s="64">
        <f>SUM(B65,B68:B70,B74)</f>
        <v>0</v>
      </c>
      <c r="C75" s="64">
        <f>SUM(C65,C68:C70,C74)</f>
        <v>0</v>
      </c>
      <c r="D75" s="64">
        <f>SUM(D65,D68:D70,D74)</f>
        <v>0</v>
      </c>
      <c r="E75" s="65">
        <f>SUM(E65,E68:E70,E74)</f>
        <v>0</v>
      </c>
    </row>
    <row r="78" spans="1:5" ht="12.75" customHeight="1" x14ac:dyDescent="0.2">
      <c r="A78" s="11" t="str">
        <f>Labels!B45</f>
        <v>IRR Initial Guess (Yr)</v>
      </c>
      <c r="B78" s="162"/>
    </row>
    <row r="79" spans="1:5" ht="12.75" customHeight="1" x14ac:dyDescent="0.2">
      <c r="A79" s="28" t="str">
        <f>"   "&amp;Labels!B103</f>
        <v xml:space="preserve">   Conv Note</v>
      </c>
      <c r="B79" s="165"/>
    </row>
    <row r="80" spans="1:5" ht="12.75" customHeight="1" x14ac:dyDescent="0.2">
      <c r="A80" s="89" t="str">
        <f>"      "&amp;Labels!B104</f>
        <v xml:space="preserve">      Series B</v>
      </c>
      <c r="B80" s="165">
        <f>Inputs!C33</f>
        <v>0.5</v>
      </c>
    </row>
    <row r="81" spans="1:2" ht="12.75" customHeight="1" x14ac:dyDescent="0.2">
      <c r="A81" s="89" t="str">
        <f>"      "&amp;Labels!B105</f>
        <v xml:space="preserve">      Series A</v>
      </c>
      <c r="B81" s="165">
        <f>Inputs!C34</f>
        <v>0.5</v>
      </c>
    </row>
    <row r="82" spans="1:2" ht="12.75" customHeight="1" x14ac:dyDescent="0.2">
      <c r="A82" s="28" t="str">
        <f>"      "&amp;Labels!C103</f>
        <v xml:space="preserve">      Subtotal</v>
      </c>
      <c r="B82" s="165">
        <f>AVERAGE(B80:B81)</f>
        <v>0.5</v>
      </c>
    </row>
    <row r="83" spans="1:2" ht="12.75" customHeight="1" x14ac:dyDescent="0.2">
      <c r="A83" s="28" t="str">
        <f>"   "&amp;Labels!B106</f>
        <v xml:space="preserve">   Preferred</v>
      </c>
      <c r="B83" s="165"/>
    </row>
    <row r="84" spans="1:2" ht="12.75" customHeight="1" x14ac:dyDescent="0.2">
      <c r="A84" s="89" t="str">
        <f>"      "&amp;Labels!B107</f>
        <v xml:space="preserve">      Series A</v>
      </c>
      <c r="B84" s="165">
        <f>Inputs!C61</f>
        <v>0.5</v>
      </c>
    </row>
    <row r="85" spans="1:2" ht="12.75" customHeight="1" x14ac:dyDescent="0.2">
      <c r="A85" s="28" t="str">
        <f>"      "&amp;Labels!C106</f>
        <v xml:space="preserve">      Subtotal</v>
      </c>
      <c r="B85" s="165">
        <f>Inputs!C61</f>
        <v>0.5</v>
      </c>
    </row>
    <row r="86" spans="1:2" ht="12.75" customHeight="1" x14ac:dyDescent="0.2">
      <c r="A86" s="28" t="str">
        <f>"   "&amp;Labels!B108</f>
        <v xml:space="preserve">   Common</v>
      </c>
      <c r="B86" s="165">
        <f>Inputs!C80</f>
        <v>0.5</v>
      </c>
    </row>
    <row r="87" spans="1:2" ht="12.75" customHeight="1" x14ac:dyDescent="0.2">
      <c r="A87" s="28" t="str">
        <f>"   "&amp;Labels!B109</f>
        <v xml:space="preserve">   Warrant</v>
      </c>
      <c r="B87" s="168">
        <f>0.5</f>
        <v>0.5</v>
      </c>
    </row>
    <row r="88" spans="1:2" ht="12.75" customHeight="1" x14ac:dyDescent="0.2">
      <c r="A88" s="28" t="str">
        <f>"   "&amp;Labels!B110</f>
        <v xml:space="preserve">   Option</v>
      </c>
      <c r="B88" s="165"/>
    </row>
    <row r="89" spans="1:2" ht="12.75" customHeight="1" x14ac:dyDescent="0.2">
      <c r="A89" s="89" t="str">
        <f>"      "&amp;Labels!B111</f>
        <v xml:space="preserve">      Series B</v>
      </c>
      <c r="B89" s="165">
        <f>Inputs!C107</f>
        <v>0.5</v>
      </c>
    </row>
    <row r="90" spans="1:2" ht="12.75" customHeight="1" x14ac:dyDescent="0.2">
      <c r="A90" s="89" t="str">
        <f>"      "&amp;Labels!B112</f>
        <v xml:space="preserve">      Series A</v>
      </c>
      <c r="B90" s="165">
        <f>Inputs!C108</f>
        <v>0.5</v>
      </c>
    </row>
    <row r="91" spans="1:2" ht="12.75" customHeight="1" x14ac:dyDescent="0.2">
      <c r="A91" s="28" t="str">
        <f>"      "&amp;Labels!C110</f>
        <v xml:space="preserve">      Subtotal</v>
      </c>
      <c r="B91" s="165">
        <f>AVERAGE(B89:B90)</f>
        <v>0.5</v>
      </c>
    </row>
    <row r="92" spans="1:2" ht="12.75" customHeight="1" x14ac:dyDescent="0.2">
      <c r="A92" s="15" t="str">
        <f>"   "&amp;Labels!C102</f>
        <v xml:space="preserve">   Total</v>
      </c>
      <c r="B92" s="184">
        <f>AVERAGE(B82,B85:B87,B91)</f>
        <v>0.5</v>
      </c>
    </row>
  </sheetData>
  <mergeCells count="6">
    <mergeCell ref="A6:D6"/>
    <mergeCell ref="A1:D1"/>
    <mergeCell ref="A2:D2"/>
    <mergeCell ref="A3:D3"/>
    <mergeCell ref="A4:D4"/>
    <mergeCell ref="A5:D5"/>
  </mergeCells>
  <pageMargins left="0.25" right="0.25" top="0.5" bottom="0.5" header="0.5" footer="0.5"/>
  <pageSetup paperSize="9" fitToHeight="32767" orientation="landscape"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E107"/>
  <sheetViews>
    <sheetView zoomScaleNormal="100" workbookViewId="0"/>
  </sheetViews>
  <sheetFormatPr defaultRowHeight="12.75" customHeight="1" x14ac:dyDescent="0.2"/>
  <cols>
    <col min="1" max="1" width="25.7109375" customWidth="1"/>
    <col min="2" max="2" width="18.85546875" customWidth="1"/>
    <col min="3" max="3" width="14.7109375" customWidth="1"/>
    <col min="4" max="4" width="27.42578125" customWidth="1"/>
    <col min="5" max="5" width="9.5703125" customWidth="1"/>
  </cols>
  <sheetData>
    <row r="1" spans="1:5" ht="12.75" customHeight="1" x14ac:dyDescent="0.2">
      <c r="A1" s="261" t="str">
        <f>"Capitalization Table"</f>
        <v>Capitalization Table</v>
      </c>
      <c r="B1" s="261"/>
      <c r="C1" s="261"/>
      <c r="D1" s="261"/>
    </row>
    <row r="2" spans="1:5" ht="12.75" customHeight="1" x14ac:dyDescent="0.2">
      <c r="A2" s="261" t="str">
        <f>Inputs!B8</f>
        <v>ABC Corp.</v>
      </c>
      <c r="B2" s="261"/>
      <c r="C2" s="261"/>
      <c r="D2" s="261"/>
    </row>
    <row r="3" spans="1:5" ht="12.75" customHeight="1" x14ac:dyDescent="0.2">
      <c r="A3" s="261" t="str">
        <f>IF("Plot Support"="(Default Input)","Ignore this sheet in normal use.","Investment Scenario "&amp;1&amp;", Valuation Scenario "&amp;1)</f>
        <v>Investment Scenario 1, Valuation Scenario 1</v>
      </c>
      <c r="B3" s="261"/>
      <c r="C3" s="261"/>
      <c r="D3" s="261"/>
    </row>
    <row r="4" spans="1:5" ht="12.75" customHeight="1" x14ac:dyDescent="0.2">
      <c r="A4" s="261" t="str">
        <f>"Plot Support"</f>
        <v>Plot Support</v>
      </c>
      <c r="B4" s="261"/>
      <c r="C4" s="261"/>
      <c r="D4" s="261"/>
    </row>
    <row r="5" spans="1:5" ht="12.75" customHeight="1" x14ac:dyDescent="0.2">
      <c r="A5" s="261" t="str">
        <f>""</f>
        <v/>
      </c>
      <c r="B5" s="261"/>
      <c r="C5" s="261"/>
      <c r="D5" s="261"/>
    </row>
    <row r="6" spans="1:5" ht="12.75" customHeight="1" x14ac:dyDescent="0.2">
      <c r="A6" s="11" t="str">
        <f>Labels!B75</f>
        <v>Securities</v>
      </c>
      <c r="B6" s="185"/>
      <c r="D6" s="11" t="str">
        <f>Labels!B72</f>
        <v>Rounds</v>
      </c>
      <c r="E6" s="185"/>
    </row>
    <row r="7" spans="1:5" ht="12.75" customHeight="1" x14ac:dyDescent="0.2">
      <c r="A7" s="28" t="str">
        <f>"   "&amp;Labels!B103</f>
        <v xml:space="preserve">   Conv Note</v>
      </c>
      <c r="B7" s="186"/>
      <c r="D7" s="28" t="str">
        <f>"   "&amp;Labels!B98</f>
        <v xml:space="preserve">   Seed</v>
      </c>
      <c r="E7" s="186" t="str">
        <f>Labels!B98</f>
        <v>Seed</v>
      </c>
    </row>
    <row r="8" spans="1:5" ht="12.75" customHeight="1" x14ac:dyDescent="0.2">
      <c r="A8" s="89" t="str">
        <f>"      "&amp;Labels!B104</f>
        <v xml:space="preserve">      Series B</v>
      </c>
      <c r="B8" s="186" t="str">
        <f>Labels!B103&amp;", "&amp;Labels!B104</f>
        <v>Conv Note, Series B</v>
      </c>
      <c r="D8" s="28" t="str">
        <f>"   "&amp;Labels!B99</f>
        <v xml:space="preserve">   Round A</v>
      </c>
      <c r="E8" s="186" t="str">
        <f>Labels!B99</f>
        <v>Round A</v>
      </c>
    </row>
    <row r="9" spans="1:5" ht="12.75" customHeight="1" x14ac:dyDescent="0.2">
      <c r="A9" s="89" t="str">
        <f>"      "&amp;Labels!B105</f>
        <v xml:space="preserve">      Series A</v>
      </c>
      <c r="B9" s="186" t="str">
        <f>Labels!B103&amp;", "&amp;Labels!B105</f>
        <v>Conv Note, Series A</v>
      </c>
      <c r="D9" s="35" t="str">
        <f>"   "&amp;Labels!B100</f>
        <v xml:space="preserve">   Exit</v>
      </c>
      <c r="E9" s="187" t="str">
        <f>Labels!B100</f>
        <v>Exit</v>
      </c>
    </row>
    <row r="10" spans="1:5" ht="12.75" customHeight="1" x14ac:dyDescent="0.2">
      <c r="A10" s="28" t="str">
        <f>"   "&amp;Labels!B106</f>
        <v xml:space="preserve">   Preferred</v>
      </c>
      <c r="B10" s="186"/>
    </row>
    <row r="11" spans="1:5" ht="12.75" customHeight="1" x14ac:dyDescent="0.2">
      <c r="A11" s="89" t="str">
        <f>"      "&amp;Labels!B107</f>
        <v xml:space="preserve">      Series A</v>
      </c>
      <c r="B11" s="186" t="str">
        <f>Labels!B106&amp;", "&amp;Labels!B107</f>
        <v>Preferred, Series A</v>
      </c>
    </row>
    <row r="12" spans="1:5" ht="12.75" customHeight="1" x14ac:dyDescent="0.2">
      <c r="A12" s="28" t="str">
        <f>"   "&amp;Labels!B108</f>
        <v xml:space="preserve">   Common</v>
      </c>
      <c r="B12" s="186" t="str">
        <f>Labels!B108</f>
        <v>Common</v>
      </c>
    </row>
    <row r="13" spans="1:5" ht="12.75" customHeight="1" x14ac:dyDescent="0.2">
      <c r="A13" s="28" t="str">
        <f>"   "&amp;Labels!B109</f>
        <v xml:space="preserve">   Warrant</v>
      </c>
      <c r="B13" s="186" t="str">
        <f>Labels!B109</f>
        <v>Warrant</v>
      </c>
    </row>
    <row r="14" spans="1:5" ht="12.75" customHeight="1" x14ac:dyDescent="0.2">
      <c r="A14" s="28" t="str">
        <f>"   "&amp;Labels!B110</f>
        <v xml:space="preserve">   Option</v>
      </c>
      <c r="B14" s="186"/>
    </row>
    <row r="15" spans="1:5" ht="12.75" customHeight="1" x14ac:dyDescent="0.2">
      <c r="A15" s="89" t="str">
        <f>"      "&amp;Labels!B111</f>
        <v xml:space="preserve">      Series B</v>
      </c>
      <c r="B15" s="186" t="str">
        <f>Labels!B110&amp;", "&amp;Labels!B111</f>
        <v>Option, Series B</v>
      </c>
    </row>
    <row r="16" spans="1:5" ht="12.75" customHeight="1" x14ac:dyDescent="0.2">
      <c r="A16" s="101" t="str">
        <f>"      "&amp;Labels!B112</f>
        <v xml:space="preserve">      Series A</v>
      </c>
      <c r="B16" s="187" t="str">
        <f>Labels!B110&amp;", "&amp;Labels!B112</f>
        <v>Option, Series A</v>
      </c>
    </row>
    <row r="18" spans="1:5" ht="12.75" customHeight="1" x14ac:dyDescent="0.2">
      <c r="B18" s="6" t="str">
        <f>Labels!B41</f>
        <v>Net New Invest</v>
      </c>
      <c r="C18" s="8" t="str">
        <f>Labels!B40</f>
        <v>Net Investment</v>
      </c>
    </row>
    <row r="19" spans="1:5" ht="12.75" customHeight="1" x14ac:dyDescent="0.2">
      <c r="A19" s="11" t="str">
        <f>Labels!B98</f>
        <v>Seed</v>
      </c>
      <c r="B19" s="26">
        <f>Investment!B241</f>
        <v>1</v>
      </c>
      <c r="C19" s="188">
        <f>Investment!B286</f>
        <v>1</v>
      </c>
    </row>
    <row r="20" spans="1:5" ht="12.75" customHeight="1" x14ac:dyDescent="0.2">
      <c r="A20" s="73" t="str">
        <f>Labels!B99</f>
        <v>Round A</v>
      </c>
      <c r="B20" s="74">
        <f>Investment!C241</f>
        <v>0</v>
      </c>
      <c r="C20" s="189">
        <f>Investment!C286</f>
        <v>1</v>
      </c>
    </row>
    <row r="21" spans="1:5" ht="12.75" customHeight="1" x14ac:dyDescent="0.2">
      <c r="A21" s="73" t="str">
        <f>Labels!B100</f>
        <v>Exit</v>
      </c>
      <c r="B21" s="74">
        <f>Investment!D241</f>
        <v>0</v>
      </c>
      <c r="C21" s="189">
        <f>Investment!D286</f>
        <v>1</v>
      </c>
    </row>
    <row r="22" spans="1:5" ht="12.75" customHeight="1" x14ac:dyDescent="0.2">
      <c r="A22" s="4" t="str">
        <f>Labels!C97</f>
        <v>Total</v>
      </c>
      <c r="B22" s="77">
        <f>SUM(B19:B21)</f>
        <v>1</v>
      </c>
      <c r="C22" s="190">
        <f>SUM(C19:C21)</f>
        <v>3</v>
      </c>
    </row>
    <row r="24" spans="1:5" ht="12.75" customHeight="1" x14ac:dyDescent="0.2">
      <c r="A24" s="11" t="str">
        <f>Labels!B27</f>
        <v>Invest by Origin Conv Notes</v>
      </c>
      <c r="B24" s="27"/>
      <c r="D24" s="11" t="str">
        <f>Labels!B34</f>
        <v>Invest End Round Notes</v>
      </c>
      <c r="E24" s="27"/>
    </row>
    <row r="25" spans="1:5" ht="12.75" customHeight="1" x14ac:dyDescent="0.2">
      <c r="A25" s="28" t="str">
        <f>"   "&amp;Labels!B98</f>
        <v xml:space="preserve">   Seed</v>
      </c>
      <c r="B25" s="30">
        <f>Investment!B115</f>
        <v>0</v>
      </c>
      <c r="D25" s="28" t="str">
        <f>"   "&amp;Labels!B98</f>
        <v xml:space="preserve">   Seed</v>
      </c>
      <c r="E25" s="30">
        <f>Investment!B276</f>
        <v>0</v>
      </c>
    </row>
    <row r="26" spans="1:5" ht="12.75" customHeight="1" x14ac:dyDescent="0.2">
      <c r="A26" s="28" t="str">
        <f>"   "&amp;Labels!B99</f>
        <v xml:space="preserve">   Round A</v>
      </c>
      <c r="B26" s="30">
        <f>Investment!C115</f>
        <v>0</v>
      </c>
      <c r="D26" s="28" t="str">
        <f>"   "&amp;Labels!B99</f>
        <v xml:space="preserve">   Round A</v>
      </c>
      <c r="E26" s="30">
        <f>Investment!C276</f>
        <v>0</v>
      </c>
    </row>
    <row r="27" spans="1:5" ht="12.75" customHeight="1" x14ac:dyDescent="0.2">
      <c r="A27" s="28" t="str">
        <f>"   "&amp;Labels!B100</f>
        <v xml:space="preserve">   Exit</v>
      </c>
      <c r="B27" s="30">
        <f>Investment!D115</f>
        <v>0</v>
      </c>
      <c r="D27" s="28" t="str">
        <f>"   "&amp;Labels!B100</f>
        <v xml:space="preserve">   Exit</v>
      </c>
      <c r="E27" s="30">
        <f>Investment!D276</f>
        <v>0</v>
      </c>
    </row>
    <row r="28" spans="1:5" ht="12.75" customHeight="1" x14ac:dyDescent="0.2">
      <c r="A28" s="4"/>
      <c r="B28" s="4"/>
      <c r="D28" s="4"/>
      <c r="E28" s="4"/>
    </row>
    <row r="29" spans="1:5" ht="12.75" customHeight="1" x14ac:dyDescent="0.2">
      <c r="A29" s="73" t="str">
        <f>Labels!B31</f>
        <v>Invest by Origin Preferred</v>
      </c>
      <c r="B29" s="30"/>
      <c r="D29" s="73" t="str">
        <f>Labels!B36</f>
        <v>Invest End Round Preferred</v>
      </c>
      <c r="E29" s="30"/>
    </row>
    <row r="30" spans="1:5" ht="12.75" customHeight="1" x14ac:dyDescent="0.2">
      <c r="A30" s="28" t="str">
        <f>"   "&amp;Labels!B98</f>
        <v xml:space="preserve">   Seed</v>
      </c>
      <c r="B30" s="30">
        <f>Investment!B118</f>
        <v>0</v>
      </c>
      <c r="D30" s="28" t="str">
        <f>"   "&amp;Labels!B98</f>
        <v xml:space="preserve">   Seed</v>
      </c>
      <c r="E30" s="30">
        <f>Investment!B279</f>
        <v>0</v>
      </c>
    </row>
    <row r="31" spans="1:5" ht="12.75" customHeight="1" x14ac:dyDescent="0.2">
      <c r="A31" s="28" t="str">
        <f>"   "&amp;Labels!B99</f>
        <v xml:space="preserve">   Round A</v>
      </c>
      <c r="B31" s="30">
        <f>Investment!C118</f>
        <v>0</v>
      </c>
      <c r="D31" s="28" t="str">
        <f>"   "&amp;Labels!B99</f>
        <v xml:space="preserve">   Round A</v>
      </c>
      <c r="E31" s="30">
        <f>Investment!C279</f>
        <v>0</v>
      </c>
    </row>
    <row r="32" spans="1:5" ht="12.75" customHeight="1" x14ac:dyDescent="0.2">
      <c r="A32" s="28" t="str">
        <f>"   "&amp;Labels!B100</f>
        <v xml:space="preserve">   Exit</v>
      </c>
      <c r="B32" s="30">
        <f>Investment!D118</f>
        <v>0</v>
      </c>
      <c r="D32" s="28" t="str">
        <f>"   "&amp;Labels!B100</f>
        <v xml:space="preserve">   Exit</v>
      </c>
      <c r="E32" s="30">
        <f>Investment!D279</f>
        <v>0</v>
      </c>
    </row>
    <row r="33" spans="1:5" ht="12.75" customHeight="1" x14ac:dyDescent="0.2">
      <c r="A33" s="4"/>
      <c r="B33" s="4"/>
      <c r="D33" s="4"/>
      <c r="E33" s="4"/>
    </row>
    <row r="34" spans="1:5" ht="12.75" customHeight="1" x14ac:dyDescent="0.2">
      <c r="A34" s="73" t="str">
        <f>Labels!B26</f>
        <v>Invest by Origin Common</v>
      </c>
      <c r="B34" s="30"/>
      <c r="D34" s="73" t="str">
        <f>Labels!B33</f>
        <v>Invest End of Round Common</v>
      </c>
      <c r="E34" s="30"/>
    </row>
    <row r="35" spans="1:5" ht="12.75" customHeight="1" x14ac:dyDescent="0.2">
      <c r="A35" s="28" t="str">
        <f>"   "&amp;Labels!B98</f>
        <v xml:space="preserve">   Seed</v>
      </c>
      <c r="B35" s="30">
        <f>Investment!B119</f>
        <v>1</v>
      </c>
      <c r="D35" s="28" t="str">
        <f>"   "&amp;Labels!B98</f>
        <v xml:space="preserve">   Seed</v>
      </c>
      <c r="E35" s="30">
        <f>Investment!B280</f>
        <v>1</v>
      </c>
    </row>
    <row r="36" spans="1:5" ht="12.75" customHeight="1" x14ac:dyDescent="0.2">
      <c r="A36" s="28" t="str">
        <f>"   "&amp;Labels!B99</f>
        <v xml:space="preserve">   Round A</v>
      </c>
      <c r="B36" s="30">
        <f>Investment!C119</f>
        <v>1</v>
      </c>
      <c r="D36" s="28" t="str">
        <f>"   "&amp;Labels!B99</f>
        <v xml:space="preserve">   Round A</v>
      </c>
      <c r="E36" s="30">
        <f>Investment!C280</f>
        <v>1</v>
      </c>
    </row>
    <row r="37" spans="1:5" ht="12.75" customHeight="1" x14ac:dyDescent="0.2">
      <c r="A37" s="28" t="str">
        <f>"   "&amp;Labels!B100</f>
        <v xml:space="preserve">   Exit</v>
      </c>
      <c r="B37" s="30">
        <f>Investment!D119</f>
        <v>1</v>
      </c>
      <c r="D37" s="28" t="str">
        <f>"   "&amp;Labels!B100</f>
        <v xml:space="preserve">   Exit</v>
      </c>
      <c r="E37" s="30">
        <f>Investment!D280</f>
        <v>1</v>
      </c>
    </row>
    <row r="38" spans="1:5" ht="12.75" customHeight="1" x14ac:dyDescent="0.2">
      <c r="A38" s="4"/>
      <c r="B38" s="4"/>
      <c r="D38" s="4"/>
      <c r="E38" s="4"/>
    </row>
    <row r="39" spans="1:5" ht="12.75" customHeight="1" x14ac:dyDescent="0.2">
      <c r="A39" s="73" t="str">
        <f>Labels!B32</f>
        <v>Invest by Origin Warrants</v>
      </c>
      <c r="B39" s="30"/>
      <c r="D39" s="73" t="str">
        <f>Labels!B37</f>
        <v>Invest End Round Warrants</v>
      </c>
      <c r="E39" s="30"/>
    </row>
    <row r="40" spans="1:5" ht="12.75" customHeight="1" x14ac:dyDescent="0.2">
      <c r="A40" s="28" t="str">
        <f>"   "&amp;Labels!B98</f>
        <v xml:space="preserve">   Seed</v>
      </c>
      <c r="B40" s="30">
        <f>Investment!B120</f>
        <v>0</v>
      </c>
      <c r="D40" s="28" t="str">
        <f>"   "&amp;Labels!B98</f>
        <v xml:space="preserve">   Seed</v>
      </c>
      <c r="E40" s="30">
        <f>Investment!B281</f>
        <v>0</v>
      </c>
    </row>
    <row r="41" spans="1:5" ht="12.75" customHeight="1" x14ac:dyDescent="0.2">
      <c r="A41" s="28" t="str">
        <f>"   "&amp;Labels!B99</f>
        <v xml:space="preserve">   Round A</v>
      </c>
      <c r="B41" s="30">
        <f>Investment!C120</f>
        <v>0</v>
      </c>
      <c r="D41" s="28" t="str">
        <f>"   "&amp;Labels!B99</f>
        <v xml:space="preserve">   Round A</v>
      </c>
      <c r="E41" s="30">
        <f>Investment!C281</f>
        <v>0</v>
      </c>
    </row>
    <row r="42" spans="1:5" ht="12.75" customHeight="1" x14ac:dyDescent="0.2">
      <c r="A42" s="28" t="str">
        <f>"   "&amp;Labels!B100</f>
        <v xml:space="preserve">   Exit</v>
      </c>
      <c r="B42" s="30">
        <f>Investment!D120</f>
        <v>0</v>
      </c>
      <c r="D42" s="28" t="str">
        <f>"   "&amp;Labels!B100</f>
        <v xml:space="preserve">   Exit</v>
      </c>
      <c r="E42" s="30">
        <f>Investment!D281</f>
        <v>0</v>
      </c>
    </row>
    <row r="43" spans="1:5" ht="12.75" customHeight="1" x14ac:dyDescent="0.2">
      <c r="A43" s="4"/>
      <c r="B43" s="4"/>
      <c r="D43" s="4"/>
      <c r="E43" s="4"/>
    </row>
    <row r="44" spans="1:5" ht="12.75" customHeight="1" x14ac:dyDescent="0.2">
      <c r="A44" s="73" t="str">
        <f>Labels!B30</f>
        <v>Invest by Origin Options</v>
      </c>
      <c r="B44" s="30"/>
      <c r="D44" s="73" t="str">
        <f>Labels!B35</f>
        <v>Invest End Round Options</v>
      </c>
      <c r="E44" s="30"/>
    </row>
    <row r="45" spans="1:5" ht="12.75" customHeight="1" x14ac:dyDescent="0.2">
      <c r="A45" s="28" t="str">
        <f>"   "&amp;Labels!B98</f>
        <v xml:space="preserve">   Seed</v>
      </c>
      <c r="B45" s="30">
        <f>Investment!B124</f>
        <v>0</v>
      </c>
      <c r="D45" s="28" t="str">
        <f>"   "&amp;Labels!B98</f>
        <v xml:space="preserve">   Seed</v>
      </c>
      <c r="E45" s="30">
        <f>Investment!B285</f>
        <v>0</v>
      </c>
    </row>
    <row r="46" spans="1:5" ht="12.75" customHeight="1" x14ac:dyDescent="0.2">
      <c r="A46" s="28" t="str">
        <f>"   "&amp;Labels!B99</f>
        <v xml:space="preserve">   Round A</v>
      </c>
      <c r="B46" s="30">
        <f>Investment!C124</f>
        <v>0</v>
      </c>
      <c r="D46" s="28" t="str">
        <f>"   "&amp;Labels!B99</f>
        <v xml:space="preserve">   Round A</v>
      </c>
      <c r="E46" s="30">
        <f>Investment!C285</f>
        <v>0</v>
      </c>
    </row>
    <row r="47" spans="1:5" ht="12.75" customHeight="1" x14ac:dyDescent="0.2">
      <c r="A47" s="35" t="str">
        <f>"   "&amp;Labels!B100</f>
        <v xml:space="preserve">   Exit</v>
      </c>
      <c r="B47" s="32">
        <f>Investment!D124</f>
        <v>0</v>
      </c>
      <c r="D47" s="35" t="str">
        <f>"   "&amp;Labels!B100</f>
        <v xml:space="preserve">   Exit</v>
      </c>
      <c r="E47" s="32">
        <f>Investment!D285</f>
        <v>0</v>
      </c>
    </row>
    <row r="49" spans="1:5" ht="12.75" customHeight="1" x14ac:dyDescent="0.2">
      <c r="A49" s="11" t="str">
        <f>Labels!B24</f>
        <v>Firm Value Start</v>
      </c>
      <c r="B49" s="27"/>
    </row>
    <row r="50" spans="1:5" ht="12.75" customHeight="1" x14ac:dyDescent="0.2">
      <c r="A50" s="28" t="str">
        <f>"   "&amp;Labels!B98</f>
        <v xml:space="preserve">   Seed</v>
      </c>
      <c r="B50" s="30">
        <f>Inputs!B121</f>
        <v>1000000</v>
      </c>
    </row>
    <row r="51" spans="1:5" ht="12.75" customHeight="1" x14ac:dyDescent="0.2">
      <c r="A51" s="28" t="str">
        <f>"   "&amp;Labels!B99</f>
        <v xml:space="preserve">   Round A</v>
      </c>
      <c r="B51" s="30">
        <f>Inputs!B122</f>
        <v>1000000</v>
      </c>
    </row>
    <row r="52" spans="1:5" ht="12.75" customHeight="1" x14ac:dyDescent="0.2">
      <c r="A52" s="28" t="str">
        <f>"   "&amp;Labels!B100</f>
        <v xml:space="preserve">   Exit</v>
      </c>
      <c r="B52" s="30">
        <f>Inputs!B123</f>
        <v>1000000</v>
      </c>
    </row>
    <row r="53" spans="1:5" ht="12.75" customHeight="1" x14ac:dyDescent="0.2">
      <c r="A53" s="73" t="str">
        <f>"   "&amp;Labels!C97</f>
        <v xml:space="preserve">   Total</v>
      </c>
      <c r="B53" s="30">
        <f>SUM(B50:B52)</f>
        <v>3000000</v>
      </c>
    </row>
    <row r="54" spans="1:5" ht="12.75" customHeight="1" x14ac:dyDescent="0.2">
      <c r="A54" s="4"/>
      <c r="B54" s="4"/>
    </row>
    <row r="55" spans="1:5" ht="12.75" customHeight="1" x14ac:dyDescent="0.2">
      <c r="A55" s="73" t="str">
        <f>Labels!B23</f>
        <v>Firm Value</v>
      </c>
      <c r="B55" s="30"/>
    </row>
    <row r="56" spans="1:5" ht="12.75" customHeight="1" x14ac:dyDescent="0.2">
      <c r="A56" s="28" t="str">
        <f>"   "&amp;Labels!B98</f>
        <v xml:space="preserve">   Seed</v>
      </c>
      <c r="B56" s="30">
        <f>Valuation!B22</f>
        <v>1000001</v>
      </c>
    </row>
    <row r="57" spans="1:5" ht="12.75" customHeight="1" x14ac:dyDescent="0.2">
      <c r="A57" s="28" t="str">
        <f>"   "&amp;Labels!B99</f>
        <v xml:space="preserve">   Round A</v>
      </c>
      <c r="B57" s="30">
        <f>Valuation!C22</f>
        <v>1000000</v>
      </c>
    </row>
    <row r="58" spans="1:5" ht="12.75" customHeight="1" x14ac:dyDescent="0.2">
      <c r="A58" s="35" t="str">
        <f>"   "&amp;Labels!B100</f>
        <v xml:space="preserve">   Exit</v>
      </c>
      <c r="B58" s="32">
        <f>Valuation!D22</f>
        <v>1000000</v>
      </c>
    </row>
    <row r="60" spans="1:5" ht="12.75" customHeight="1" x14ac:dyDescent="0.2">
      <c r="B60" s="6" t="str">
        <f>Labels!B98</f>
        <v>Seed</v>
      </c>
      <c r="C60" s="7" t="str">
        <f>Labels!B99</f>
        <v>Round A</v>
      </c>
      <c r="D60" s="7" t="str">
        <f>Labels!B100</f>
        <v>Exit</v>
      </c>
      <c r="E60" s="25" t="str">
        <f>Labels!C97</f>
        <v>Total</v>
      </c>
    </row>
    <row r="61" spans="1:5" ht="12.75" customHeight="1" x14ac:dyDescent="0.2">
      <c r="A61" s="11" t="str">
        <f>Labels!B59</f>
        <v>Payout</v>
      </c>
      <c r="B61" s="26"/>
      <c r="C61" s="26"/>
      <c r="D61" s="26"/>
      <c r="E61" s="27"/>
    </row>
    <row r="62" spans="1:5" ht="12.75" customHeight="1" x14ac:dyDescent="0.2">
      <c r="A62" s="28" t="str">
        <f>"   "&amp;Labels!B103</f>
        <v xml:space="preserve">   Conv Note</v>
      </c>
      <c r="B62" s="70"/>
      <c r="C62" s="70"/>
      <c r="D62" s="70"/>
      <c r="E62" s="30"/>
    </row>
    <row r="63" spans="1:5" ht="12.75" customHeight="1" x14ac:dyDescent="0.2">
      <c r="A63" s="89" t="str">
        <f>"      "&amp;Labels!B104</f>
        <v xml:space="preserve">      Series B</v>
      </c>
      <c r="B63" s="91">
        <f>Payout!B43</f>
        <v>0</v>
      </c>
      <c r="C63" s="91">
        <f>Payout!C43</f>
        <v>0</v>
      </c>
      <c r="D63" s="91">
        <f>Payout!D43</f>
        <v>0</v>
      </c>
      <c r="E63" s="30" t="str">
        <f>""</f>
        <v/>
      </c>
    </row>
    <row r="64" spans="1:5" ht="12.75" customHeight="1" x14ac:dyDescent="0.2">
      <c r="A64" s="89" t="str">
        <f>"      "&amp;Labels!B105</f>
        <v xml:space="preserve">      Series A</v>
      </c>
      <c r="B64" s="91">
        <f>Payout!B44</f>
        <v>0</v>
      </c>
      <c r="C64" s="91">
        <f>Payout!C44</f>
        <v>0</v>
      </c>
      <c r="D64" s="91">
        <f>Payout!D44</f>
        <v>0</v>
      </c>
      <c r="E64" s="30" t="str">
        <f>""</f>
        <v/>
      </c>
    </row>
    <row r="65" spans="1:5" ht="12.75" customHeight="1" x14ac:dyDescent="0.2">
      <c r="A65" s="28" t="str">
        <f>"      "&amp;Labels!C103</f>
        <v xml:space="preserve">      Subtotal</v>
      </c>
      <c r="B65" s="70">
        <f>SUM(B63:B64)</f>
        <v>0</v>
      </c>
      <c r="C65" s="70">
        <f>SUM(C63:C64)</f>
        <v>0</v>
      </c>
      <c r="D65" s="70">
        <f>SUM(D63:D64)</f>
        <v>0</v>
      </c>
      <c r="E65" s="30" t="str">
        <f>""</f>
        <v/>
      </c>
    </row>
    <row r="66" spans="1:5" ht="12.75" customHeight="1" x14ac:dyDescent="0.2">
      <c r="A66" s="28" t="str">
        <f>"   "&amp;Labels!B106</f>
        <v xml:space="preserve">   Preferred</v>
      </c>
      <c r="B66" s="70"/>
      <c r="C66" s="70"/>
      <c r="D66" s="70"/>
      <c r="E66" s="30"/>
    </row>
    <row r="67" spans="1:5" ht="12.75" customHeight="1" x14ac:dyDescent="0.2">
      <c r="A67" s="89" t="str">
        <f>"      "&amp;Labels!B107</f>
        <v xml:space="preserve">      Series A</v>
      </c>
      <c r="B67" s="91">
        <f>Payout!B47</f>
        <v>0</v>
      </c>
      <c r="C67" s="91">
        <f>Payout!C47</f>
        <v>0</v>
      </c>
      <c r="D67" s="91">
        <f>Payout!D47</f>
        <v>0</v>
      </c>
      <c r="E67" s="30" t="str">
        <f>""</f>
        <v/>
      </c>
    </row>
    <row r="68" spans="1:5" ht="12.75" customHeight="1" x14ac:dyDescent="0.2">
      <c r="A68" s="28" t="str">
        <f>"      "&amp;Labels!C106</f>
        <v xml:space="preserve">      Subtotal</v>
      </c>
      <c r="B68" s="70">
        <f>SUM(B67)</f>
        <v>0</v>
      </c>
      <c r="C68" s="70">
        <f>SUM(C67)</f>
        <v>0</v>
      </c>
      <c r="D68" s="70">
        <f>SUM(D67)</f>
        <v>0</v>
      </c>
      <c r="E68" s="30" t="str">
        <f>""</f>
        <v/>
      </c>
    </row>
    <row r="69" spans="1:5" ht="12.75" customHeight="1" x14ac:dyDescent="0.2">
      <c r="A69" s="28" t="str">
        <f>"   "&amp;Labels!B108</f>
        <v xml:space="preserve">   Common</v>
      </c>
      <c r="B69" s="70">
        <f>Payout!B49</f>
        <v>1000001</v>
      </c>
      <c r="C69" s="70">
        <f>Payout!C49</f>
        <v>1000000</v>
      </c>
      <c r="D69" s="70">
        <f>Payout!D49</f>
        <v>1000000</v>
      </c>
      <c r="E69" s="30" t="str">
        <f>""</f>
        <v/>
      </c>
    </row>
    <row r="70" spans="1:5" ht="12.75" customHeight="1" x14ac:dyDescent="0.2">
      <c r="A70" s="28" t="str">
        <f>"   "&amp;Labels!B109</f>
        <v xml:space="preserve">   Warrant</v>
      </c>
      <c r="B70" s="70">
        <f>Payout!B50</f>
        <v>0</v>
      </c>
      <c r="C70" s="70">
        <f>Payout!C50</f>
        <v>0</v>
      </c>
      <c r="D70" s="70">
        <f>Payout!D50</f>
        <v>0</v>
      </c>
      <c r="E70" s="30" t="str">
        <f>""</f>
        <v/>
      </c>
    </row>
    <row r="71" spans="1:5" ht="12.75" customHeight="1" x14ac:dyDescent="0.2">
      <c r="A71" s="28" t="str">
        <f>"   "&amp;Labels!B110</f>
        <v xml:space="preserve">   Option</v>
      </c>
      <c r="B71" s="70"/>
      <c r="C71" s="70"/>
      <c r="D71" s="70"/>
      <c r="E71" s="30"/>
    </row>
    <row r="72" spans="1:5" ht="12.75" customHeight="1" x14ac:dyDescent="0.2">
      <c r="A72" s="89" t="str">
        <f>"      "&amp;Labels!B111</f>
        <v xml:space="preserve">      Series B</v>
      </c>
      <c r="B72" s="91">
        <f>Payout!B52</f>
        <v>0</v>
      </c>
      <c r="C72" s="91">
        <f>Payout!C52</f>
        <v>0</v>
      </c>
      <c r="D72" s="91">
        <f>Payout!D52</f>
        <v>0</v>
      </c>
      <c r="E72" s="30" t="str">
        <f>""</f>
        <v/>
      </c>
    </row>
    <row r="73" spans="1:5" ht="12.75" customHeight="1" x14ac:dyDescent="0.2">
      <c r="A73" s="89" t="str">
        <f>"      "&amp;Labels!B112</f>
        <v xml:space="preserve">      Series A</v>
      </c>
      <c r="B73" s="91">
        <f>Payout!B53</f>
        <v>0</v>
      </c>
      <c r="C73" s="91">
        <f>Payout!C53</f>
        <v>0</v>
      </c>
      <c r="D73" s="91">
        <f>Payout!D53</f>
        <v>0</v>
      </c>
      <c r="E73" s="30" t="str">
        <f>""</f>
        <v/>
      </c>
    </row>
    <row r="74" spans="1:5" ht="12.75" customHeight="1" x14ac:dyDescent="0.2">
      <c r="A74" s="28" t="str">
        <f>"      "&amp;Labels!C110</f>
        <v xml:space="preserve">      Subtotal</v>
      </c>
      <c r="B74" s="70">
        <f>SUM(B72:B73)</f>
        <v>0</v>
      </c>
      <c r="C74" s="70">
        <f>SUM(C72:C73)</f>
        <v>0</v>
      </c>
      <c r="D74" s="70">
        <f>SUM(D72:D73)</f>
        <v>0</v>
      </c>
      <c r="E74" s="30" t="str">
        <f>""</f>
        <v/>
      </c>
    </row>
    <row r="75" spans="1:5" ht="12.75" customHeight="1" x14ac:dyDescent="0.2">
      <c r="A75" s="73" t="str">
        <f>"   "&amp;Labels!C102</f>
        <v xml:space="preserve">   Total</v>
      </c>
      <c r="B75" s="74">
        <f>SUM(B65,B68:B70,B74)</f>
        <v>1000001</v>
      </c>
      <c r="C75" s="74">
        <f>SUM(C65,C68:C70,C74)</f>
        <v>1000000</v>
      </c>
      <c r="D75" s="74">
        <f>SUM(D65,D68:D70,D74)</f>
        <v>1000000</v>
      </c>
      <c r="E75" s="30" t="str">
        <f>""</f>
        <v/>
      </c>
    </row>
    <row r="76" spans="1:5" ht="12.75" customHeight="1" x14ac:dyDescent="0.2">
      <c r="A76" s="4"/>
      <c r="B76" s="92"/>
      <c r="C76" s="92"/>
      <c r="D76" s="92"/>
      <c r="E76" s="4"/>
    </row>
    <row r="77" spans="1:5" ht="12.75" customHeight="1" x14ac:dyDescent="0.2">
      <c r="A77" s="11" t="str">
        <f>Labels!B61</f>
        <v>Payout</v>
      </c>
      <c r="B77" s="27"/>
    </row>
    <row r="78" spans="1:5" ht="12.75" customHeight="1" x14ac:dyDescent="0.2">
      <c r="A78" s="28" t="str">
        <f>"   "&amp;Labels!B103</f>
        <v xml:space="preserve">   Conv Note</v>
      </c>
      <c r="B78" s="30"/>
    </row>
    <row r="79" spans="1:5" ht="12.75" customHeight="1" x14ac:dyDescent="0.2">
      <c r="A79" s="89" t="str">
        <f>"      "&amp;Labels!B104</f>
        <v xml:space="preserve">      Series B</v>
      </c>
      <c r="B79" s="30">
        <f>Payout!D8</f>
        <v>0</v>
      </c>
    </row>
    <row r="80" spans="1:5" ht="12.75" customHeight="1" x14ac:dyDescent="0.2">
      <c r="A80" s="89" t="str">
        <f>"      "&amp;Labels!B105</f>
        <v xml:space="preserve">      Series A</v>
      </c>
      <c r="B80" s="30">
        <f>Payout!D9</f>
        <v>0</v>
      </c>
    </row>
    <row r="81" spans="1:2" ht="12.75" customHeight="1" x14ac:dyDescent="0.2">
      <c r="A81" s="28" t="str">
        <f>"      "&amp;Labels!C103</f>
        <v xml:space="preserve">      Subtotal</v>
      </c>
      <c r="B81" s="30">
        <f>Payout!D45</f>
        <v>0</v>
      </c>
    </row>
    <row r="82" spans="1:2" ht="12.75" customHeight="1" x14ac:dyDescent="0.2">
      <c r="A82" s="28" t="str">
        <f>"   "&amp;Labels!B106</f>
        <v xml:space="preserve">   Preferred</v>
      </c>
      <c r="B82" s="30"/>
    </row>
    <row r="83" spans="1:2" ht="12.75" customHeight="1" x14ac:dyDescent="0.2">
      <c r="A83" s="89" t="str">
        <f>"      "&amp;Labels!B107</f>
        <v xml:space="preserve">      Series A</v>
      </c>
      <c r="B83" s="30">
        <f>Payout!D12</f>
        <v>0</v>
      </c>
    </row>
    <row r="84" spans="1:2" ht="12.75" customHeight="1" x14ac:dyDescent="0.2">
      <c r="A84" s="28" t="str">
        <f>"      "&amp;Labels!C106</f>
        <v xml:space="preserve">      Subtotal</v>
      </c>
      <c r="B84" s="30">
        <f>Payout!D48</f>
        <v>0</v>
      </c>
    </row>
    <row r="85" spans="1:2" ht="12.75" customHeight="1" x14ac:dyDescent="0.2">
      <c r="A85" s="28" t="str">
        <f>"   "&amp;Labels!B108</f>
        <v xml:space="preserve">   Common</v>
      </c>
      <c r="B85" s="30">
        <f>Payout!D14</f>
        <v>1000000</v>
      </c>
    </row>
    <row r="86" spans="1:2" ht="12.75" customHeight="1" x14ac:dyDescent="0.2">
      <c r="A86" s="28" t="str">
        <f>"   "&amp;Labels!B109</f>
        <v xml:space="preserve">   Warrant</v>
      </c>
      <c r="B86" s="30">
        <f>Payout!D15</f>
        <v>0</v>
      </c>
    </row>
    <row r="87" spans="1:2" ht="12.75" customHeight="1" x14ac:dyDescent="0.2">
      <c r="A87" s="28" t="str">
        <f>"   "&amp;Labels!B110</f>
        <v xml:space="preserve">   Option</v>
      </c>
      <c r="B87" s="30"/>
    </row>
    <row r="88" spans="1:2" ht="12.75" customHeight="1" x14ac:dyDescent="0.2">
      <c r="A88" s="89" t="str">
        <f>"      "&amp;Labels!B111</f>
        <v xml:space="preserve">      Series B</v>
      </c>
      <c r="B88" s="30">
        <f>Payout!D17</f>
        <v>0</v>
      </c>
    </row>
    <row r="89" spans="1:2" ht="12.75" customHeight="1" x14ac:dyDescent="0.2">
      <c r="A89" s="89" t="str">
        <f>"      "&amp;Labels!B112</f>
        <v xml:space="preserve">      Series A</v>
      </c>
      <c r="B89" s="30">
        <f>Payout!D18</f>
        <v>0</v>
      </c>
    </row>
    <row r="90" spans="1:2" ht="12.75" customHeight="1" x14ac:dyDescent="0.2">
      <c r="A90" s="28" t="str">
        <f>"      "&amp;Labels!C110</f>
        <v xml:space="preserve">      Subtotal</v>
      </c>
      <c r="B90" s="30">
        <f>Payout!D54</f>
        <v>0</v>
      </c>
    </row>
    <row r="91" spans="1:2" ht="12.75" customHeight="1" x14ac:dyDescent="0.2">
      <c r="A91" s="73" t="str">
        <f>"   "&amp;Labels!C102</f>
        <v xml:space="preserve">   Total</v>
      </c>
      <c r="B91" s="30">
        <f>Payout!D55</f>
        <v>1000000</v>
      </c>
    </row>
    <row r="92" spans="1:2" ht="12.75" customHeight="1" x14ac:dyDescent="0.2">
      <c r="A92" s="4"/>
      <c r="B92" s="4"/>
    </row>
    <row r="93" spans="1:2" ht="12.75" customHeight="1" x14ac:dyDescent="0.2">
      <c r="A93" s="73" t="str">
        <f>Labels!B56</f>
        <v>Payout by Origin</v>
      </c>
      <c r="B93" s="30"/>
    </row>
    <row r="94" spans="1:2" ht="12.75" customHeight="1" x14ac:dyDescent="0.2">
      <c r="A94" s="28" t="str">
        <f>"   "&amp;Labels!B103</f>
        <v xml:space="preserve">   Conv Note</v>
      </c>
      <c r="B94" s="30"/>
    </row>
    <row r="95" spans="1:2" ht="12.75" customHeight="1" x14ac:dyDescent="0.2">
      <c r="A95" s="89" t="str">
        <f>"      "&amp;Labels!B104</f>
        <v xml:space="preserve">      Series B</v>
      </c>
      <c r="B95" s="30">
        <f>Investment!D12</f>
        <v>0</v>
      </c>
    </row>
    <row r="96" spans="1:2" ht="12.75" customHeight="1" x14ac:dyDescent="0.2">
      <c r="A96" s="89" t="str">
        <f>"      "&amp;Labels!B105</f>
        <v xml:space="preserve">      Series A</v>
      </c>
      <c r="B96" s="30">
        <f>Investment!D13</f>
        <v>0</v>
      </c>
    </row>
    <row r="97" spans="1:2" ht="12.75" customHeight="1" x14ac:dyDescent="0.2">
      <c r="A97" s="28" t="str">
        <f>"      "&amp;Labels!C103</f>
        <v xml:space="preserve">      Subtotal</v>
      </c>
      <c r="B97" s="30">
        <f>'(Other Variables)'!D276</f>
        <v>0</v>
      </c>
    </row>
    <row r="98" spans="1:2" ht="12.75" customHeight="1" x14ac:dyDescent="0.2">
      <c r="A98" s="28" t="str">
        <f>"   "&amp;Labels!B106</f>
        <v xml:space="preserve">   Preferred</v>
      </c>
      <c r="B98" s="30"/>
    </row>
    <row r="99" spans="1:2" ht="12.75" customHeight="1" x14ac:dyDescent="0.2">
      <c r="A99" s="89" t="str">
        <f>"      "&amp;Labels!B107</f>
        <v xml:space="preserve">      Series A</v>
      </c>
      <c r="B99" s="30">
        <f>Investment!D16</f>
        <v>0</v>
      </c>
    </row>
    <row r="100" spans="1:2" ht="12.75" customHeight="1" x14ac:dyDescent="0.2">
      <c r="A100" s="28" t="str">
        <f>"      "&amp;Labels!C106</f>
        <v xml:space="preserve">      Subtotal</v>
      </c>
      <c r="B100" s="30">
        <f>'(Other Variables)'!D279</f>
        <v>0</v>
      </c>
    </row>
    <row r="101" spans="1:2" ht="12.75" customHeight="1" x14ac:dyDescent="0.2">
      <c r="A101" s="28" t="str">
        <f>"   "&amp;Labels!B108</f>
        <v xml:space="preserve">   Common</v>
      </c>
      <c r="B101" s="30">
        <f>Investment!D18</f>
        <v>1000000</v>
      </c>
    </row>
    <row r="102" spans="1:2" ht="12.75" customHeight="1" x14ac:dyDescent="0.2">
      <c r="A102" s="28" t="str">
        <f>"   "&amp;Labels!B109</f>
        <v xml:space="preserve">   Warrant</v>
      </c>
      <c r="B102" s="30">
        <f>Investment!D19</f>
        <v>0</v>
      </c>
    </row>
    <row r="103" spans="1:2" ht="12.75" customHeight="1" x14ac:dyDescent="0.2">
      <c r="A103" s="28" t="str">
        <f>"   "&amp;Labels!B110</f>
        <v xml:space="preserve">   Option</v>
      </c>
      <c r="B103" s="30"/>
    </row>
    <row r="104" spans="1:2" ht="12.75" customHeight="1" x14ac:dyDescent="0.2">
      <c r="A104" s="89" t="str">
        <f>"      "&amp;Labels!B111</f>
        <v xml:space="preserve">      Series B</v>
      </c>
      <c r="B104" s="30">
        <f>Investment!D21</f>
        <v>0</v>
      </c>
    </row>
    <row r="105" spans="1:2" ht="12.75" customHeight="1" x14ac:dyDescent="0.2">
      <c r="A105" s="89" t="str">
        <f>"      "&amp;Labels!B112</f>
        <v xml:space="preserve">      Series A</v>
      </c>
      <c r="B105" s="30">
        <f>Investment!D22</f>
        <v>0</v>
      </c>
    </row>
    <row r="106" spans="1:2" ht="12.75" customHeight="1" x14ac:dyDescent="0.2">
      <c r="A106" s="28" t="str">
        <f>"      "&amp;Labels!C110</f>
        <v xml:space="preserve">      Subtotal</v>
      </c>
      <c r="B106" s="30">
        <f>'(Other Variables)'!D285</f>
        <v>0</v>
      </c>
    </row>
    <row r="107" spans="1:2" ht="12.75" customHeight="1" x14ac:dyDescent="0.2">
      <c r="A107" s="15" t="str">
        <f>"   "&amp;Labels!C102</f>
        <v xml:space="preserve">   Total</v>
      </c>
      <c r="B107" s="32">
        <f>'(Other Variables)'!D286</f>
        <v>1000000</v>
      </c>
    </row>
  </sheetData>
  <mergeCells count="5">
    <mergeCell ref="A1:D1"/>
    <mergeCell ref="A2:D2"/>
    <mergeCell ref="A3:D3"/>
    <mergeCell ref="A4:D4"/>
    <mergeCell ref="A5:D5"/>
  </mergeCells>
  <pageMargins left="0.25" right="0.25" top="0.5" bottom="0.5" header="0.5" footer="0.5"/>
  <pageSetup paperSize="9" fitToHeight="32767" orientation="landscape" horizontalDpi="300" verticalDpi="300"/>
  <headerFooter alignWithMargins="0"/>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23"/>
  <sheetViews>
    <sheetView zoomScaleNormal="100" workbookViewId="0"/>
  </sheetViews>
  <sheetFormatPr defaultRowHeight="12.75" customHeight="1" x14ac:dyDescent="0.2"/>
  <sheetData>
    <row r="1" spans="1:5" ht="12.75" customHeight="1" x14ac:dyDescent="0.2">
      <c r="A1" s="261" t="str">
        <f>"Capitalization Table"</f>
        <v>Capitalization Table</v>
      </c>
      <c r="B1" s="261"/>
      <c r="C1" s="261"/>
      <c r="D1" s="261"/>
    </row>
    <row r="2" spans="1:5" ht="12.75" customHeight="1" x14ac:dyDescent="0.2">
      <c r="A2" s="261" t="str">
        <f>Inputs!B8</f>
        <v>ABC Corp.</v>
      </c>
      <c r="B2" s="261"/>
      <c r="C2" s="261"/>
      <c r="D2" s="261"/>
    </row>
    <row r="3" spans="1:5" ht="12.75" customHeight="1" x14ac:dyDescent="0.2">
      <c r="A3" s="261" t="str">
        <f>IF("(FnCalls 1)"="(Default Input)","Ignore this sheet in normal use.","Investment Scenario "&amp;1&amp;", Valuation Scenario "&amp;1)</f>
        <v>Investment Scenario 1, Valuation Scenario 1</v>
      </c>
      <c r="B3" s="261"/>
      <c r="C3" s="261"/>
      <c r="D3" s="261"/>
    </row>
    <row r="13" spans="1:5" ht="12.75" customHeight="1" x14ac:dyDescent="0.2">
      <c r="A13" s="1">
        <f>'(Other Variables)'!B21</f>
        <v>0</v>
      </c>
      <c r="B13" s="1">
        <f>'(Other Variables)'!B24</f>
        <v>0</v>
      </c>
      <c r="C13" s="1">
        <f>'(Other Variables)'!B25</f>
        <v>1</v>
      </c>
      <c r="D13" s="1">
        <f>'(Other Variables)'!B26</f>
        <v>1</v>
      </c>
      <c r="E13" s="1">
        <f>'(Other Variables)'!B30</f>
        <v>0</v>
      </c>
    </row>
    <row r="14" spans="1:5" ht="12.75" customHeight="1" x14ac:dyDescent="0.2">
      <c r="A14" s="1">
        <f>'(Other Variables)'!B114</f>
        <v>0</v>
      </c>
      <c r="B14" s="1">
        <f>'(Other Variables)'!B117</f>
        <v>0</v>
      </c>
      <c r="C14" s="1">
        <f>'(Other Variables)'!B118</f>
        <v>0</v>
      </c>
      <c r="D14" s="1">
        <f>'(Other Variables)'!B119</f>
        <v>0</v>
      </c>
      <c r="E14" s="1">
        <f>'(Other Variables)'!B123</f>
        <v>0</v>
      </c>
    </row>
    <row r="15" spans="1:5" ht="12.75" customHeight="1" x14ac:dyDescent="0.2">
      <c r="A15">
        <f>SUMPRODUCT(A13:E13,A14:E14)</f>
        <v>0</v>
      </c>
    </row>
    <row r="17" spans="1:5" ht="12.75" customHeight="1" x14ac:dyDescent="0.2">
      <c r="A17" s="1">
        <f>'(Other Variables)'!C21</f>
        <v>0</v>
      </c>
      <c r="B17" s="1">
        <f>'(Other Variables)'!C24</f>
        <v>0</v>
      </c>
      <c r="C17" s="1">
        <f>'(Other Variables)'!C25</f>
        <v>1000000</v>
      </c>
      <c r="D17" s="1">
        <f>'(Other Variables)'!C26</f>
        <v>1000000</v>
      </c>
      <c r="E17" s="1">
        <f>'(Other Variables)'!C30</f>
        <v>0</v>
      </c>
    </row>
    <row r="18" spans="1:5" ht="12.75" customHeight="1" x14ac:dyDescent="0.2">
      <c r="A18" s="1">
        <f>'(Other Variables)'!C114</f>
        <v>0</v>
      </c>
      <c r="B18" s="1">
        <f>'(Other Variables)'!C117</f>
        <v>0</v>
      </c>
      <c r="C18" s="1">
        <f>'(Other Variables)'!C118</f>
        <v>0</v>
      </c>
      <c r="D18" s="1">
        <f>'(Other Variables)'!C119</f>
        <v>0</v>
      </c>
      <c r="E18" s="1">
        <f>'(Other Variables)'!C123</f>
        <v>0</v>
      </c>
    </row>
    <row r="19" spans="1:5" ht="12.75" customHeight="1" x14ac:dyDescent="0.2">
      <c r="A19">
        <f>SUMPRODUCT(A17:E17,A18:E18)</f>
        <v>0</v>
      </c>
    </row>
    <row r="21" spans="1:5" ht="12.75" customHeight="1" x14ac:dyDescent="0.2">
      <c r="A21" s="1">
        <f>'(Other Variables)'!D21</f>
        <v>0</v>
      </c>
      <c r="B21" s="1">
        <f>'(Other Variables)'!D24</f>
        <v>0</v>
      </c>
      <c r="C21" s="1">
        <f>'(Other Variables)'!D25</f>
        <v>1000000</v>
      </c>
      <c r="D21" s="1">
        <f>'(Other Variables)'!D26</f>
        <v>1000000</v>
      </c>
      <c r="E21" s="1">
        <f>'(Other Variables)'!D30</f>
        <v>0</v>
      </c>
    </row>
    <row r="22" spans="1:5" ht="12.75" customHeight="1" x14ac:dyDescent="0.2">
      <c r="A22" s="1">
        <f>'(Other Variables)'!D114</f>
        <v>0</v>
      </c>
      <c r="B22" s="1">
        <f>'(Other Variables)'!D117</f>
        <v>0</v>
      </c>
      <c r="C22" s="1">
        <f>'(Other Variables)'!D118</f>
        <v>0</v>
      </c>
      <c r="D22" s="1">
        <f>'(Other Variables)'!D119</f>
        <v>0</v>
      </c>
      <c r="E22" s="1">
        <f>'(Other Variables)'!D123</f>
        <v>0</v>
      </c>
    </row>
    <row r="23" spans="1:5" ht="12.75" customHeight="1" x14ac:dyDescent="0.2">
      <c r="A23">
        <f>SUMPRODUCT(A21:E21,A22:E22)</f>
        <v>0</v>
      </c>
    </row>
  </sheetData>
  <mergeCells count="3">
    <mergeCell ref="A1:D1"/>
    <mergeCell ref="A2:D2"/>
    <mergeCell ref="A3:D3"/>
  </mergeCells>
  <pageMargins left="0.25" right="0.25" top="0.5" bottom="0.5" header="0.5" footer="0.5"/>
  <pageSetup paperSize="9" fitToHeight="32767" orientation="landscape"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E334"/>
  <sheetViews>
    <sheetView zoomScaleNormal="100" workbookViewId="0"/>
  </sheetViews>
  <sheetFormatPr defaultRowHeight="12.75" customHeight="1" x14ac:dyDescent="0.2"/>
  <cols>
    <col min="1" max="1" width="24.140625" customWidth="1"/>
    <col min="2" max="4" width="10.5703125" customWidth="1"/>
    <col min="5" max="5" width="9.42578125" customWidth="1"/>
  </cols>
  <sheetData>
    <row r="1" spans="1:4" ht="12.75" customHeight="1" x14ac:dyDescent="0.2">
      <c r="A1" s="261" t="str">
        <f>"Capitalization Table"</f>
        <v>Capitalization Table</v>
      </c>
      <c r="B1" s="261"/>
      <c r="C1" s="261"/>
      <c r="D1" s="261"/>
    </row>
    <row r="2" spans="1:4" ht="12.75" customHeight="1" x14ac:dyDescent="0.2">
      <c r="A2" s="261" t="str">
        <f>Inputs!B8</f>
        <v>ABC Corp.</v>
      </c>
      <c r="B2" s="261"/>
      <c r="C2" s="261"/>
      <c r="D2" s="261"/>
    </row>
    <row r="3" spans="1:4" ht="12.75" customHeight="1" x14ac:dyDescent="0.2">
      <c r="A3" s="261" t="str">
        <f>IF("(Other Variables)"="(Default Input)","Ignore this sheet in normal use.","Investment Scenario "&amp;1&amp;", Valuation Scenario "&amp;1)</f>
        <v>Investment Scenario 1, Valuation Scenario 1</v>
      </c>
      <c r="B3" s="261"/>
      <c r="C3" s="261"/>
      <c r="D3" s="261"/>
    </row>
    <row r="4" spans="1:4" ht="12.75" customHeight="1" x14ac:dyDescent="0.2">
      <c r="A4" s="1" t="str">
        <f>Labels!B53</f>
        <v>Exercise Price</v>
      </c>
    </row>
    <row r="5" spans="1:4" ht="12.75" customHeight="1" x14ac:dyDescent="0.2">
      <c r="B5" s="25"/>
    </row>
    <row r="6" spans="1:4" ht="12.75" customHeight="1" x14ac:dyDescent="0.2">
      <c r="A6" s="11" t="str">
        <f>Labels!B103</f>
        <v>Conv Note</v>
      </c>
      <c r="B6" s="52"/>
    </row>
    <row r="7" spans="1:4" ht="12.75" customHeight="1" x14ac:dyDescent="0.2">
      <c r="A7" s="28" t="str">
        <f>"   "&amp;Labels!B104</f>
        <v xml:space="preserve">   Series B</v>
      </c>
      <c r="B7" s="127">
        <f>0</f>
        <v>0</v>
      </c>
    </row>
    <row r="8" spans="1:4" ht="12.75" customHeight="1" x14ac:dyDescent="0.2">
      <c r="A8" s="28" t="str">
        <f>"   "&amp;Labels!B105</f>
        <v xml:space="preserve">   Series A</v>
      </c>
      <c r="B8" s="127">
        <f>0</f>
        <v>0</v>
      </c>
    </row>
    <row r="9" spans="1:4" ht="12.75" customHeight="1" x14ac:dyDescent="0.2">
      <c r="A9" s="73" t="str">
        <f>Labels!B106</f>
        <v>Preferred</v>
      </c>
      <c r="B9" s="191"/>
    </row>
    <row r="10" spans="1:4" ht="12.75" customHeight="1" x14ac:dyDescent="0.2">
      <c r="A10" s="28" t="str">
        <f>"   "&amp;Labels!B107</f>
        <v xml:space="preserve">   Series A</v>
      </c>
      <c r="B10" s="127">
        <f>0</f>
        <v>0</v>
      </c>
    </row>
    <row r="11" spans="1:4" ht="12.75" customHeight="1" x14ac:dyDescent="0.2">
      <c r="A11" s="73" t="str">
        <f>Labels!B108</f>
        <v>Common</v>
      </c>
      <c r="B11" s="191">
        <f>0</f>
        <v>0</v>
      </c>
    </row>
    <row r="12" spans="1:4" ht="12.75" customHeight="1" x14ac:dyDescent="0.2">
      <c r="A12" s="73" t="str">
        <f>Labels!B109</f>
        <v>Warrant</v>
      </c>
      <c r="B12" s="191">
        <f>0</f>
        <v>0</v>
      </c>
    </row>
    <row r="13" spans="1:4" ht="12.75" customHeight="1" x14ac:dyDescent="0.2">
      <c r="A13" s="73" t="str">
        <f>Labels!B110</f>
        <v>Option</v>
      </c>
      <c r="B13" s="191"/>
    </row>
    <row r="14" spans="1:4" ht="12.75" customHeight="1" x14ac:dyDescent="0.2">
      <c r="A14" s="28" t="str">
        <f>"   "&amp;Labels!B111</f>
        <v xml:space="preserve">   Series B</v>
      </c>
      <c r="B14" s="127">
        <f>Inputs!B101</f>
        <v>0</v>
      </c>
    </row>
    <row r="15" spans="1:4" ht="12.75" customHeight="1" x14ac:dyDescent="0.2">
      <c r="A15" s="35" t="str">
        <f>"   "&amp;Labels!B112</f>
        <v xml:space="preserve">   Series A</v>
      </c>
      <c r="B15" s="192">
        <f>Inputs!B102</f>
        <v>0</v>
      </c>
    </row>
    <row r="16" spans="1:4" ht="12.75" customHeight="1" x14ac:dyDescent="0.2">
      <c r="A16" s="1" t="str">
        <f>Labels!B70</f>
        <v>Share Price</v>
      </c>
    </row>
    <row r="17" spans="1:5" ht="12.75" customHeight="1" x14ac:dyDescent="0.2">
      <c r="B17" s="6" t="str">
        <f>Labels!B98</f>
        <v>Seed</v>
      </c>
      <c r="C17" s="7" t="str">
        <f>Labels!B99</f>
        <v>Round A</v>
      </c>
      <c r="D17" s="7" t="str">
        <f>Labels!B100</f>
        <v>Exit</v>
      </c>
      <c r="E17" s="25" t="str">
        <f>Labels!C97</f>
        <v>Total</v>
      </c>
    </row>
    <row r="18" spans="1:5" ht="12.75" customHeight="1" x14ac:dyDescent="0.2">
      <c r="A18" s="11" t="str">
        <f>Labels!B103</f>
        <v>Conv Note</v>
      </c>
      <c r="B18" s="193"/>
      <c r="C18" s="193"/>
      <c r="D18" s="193"/>
      <c r="E18" s="194"/>
    </row>
    <row r="19" spans="1:5" ht="12.75" customHeight="1" x14ac:dyDescent="0.2">
      <c r="A19" s="28" t="str">
        <f>"   "&amp;Labels!B104</f>
        <v xml:space="preserve">   Series B</v>
      </c>
      <c r="B19" s="195">
        <f>0</f>
        <v>0</v>
      </c>
      <c r="C19" s="195">
        <f>0</f>
        <v>0</v>
      </c>
      <c r="D19" s="195">
        <f>0</f>
        <v>0</v>
      </c>
      <c r="E19" s="196" t="str">
        <f>""</f>
        <v/>
      </c>
    </row>
    <row r="20" spans="1:5" ht="12.75" customHeight="1" x14ac:dyDescent="0.2">
      <c r="A20" s="28" t="str">
        <f>"   "&amp;Labels!B105</f>
        <v xml:space="preserve">   Series A</v>
      </c>
      <c r="B20" s="195">
        <f>0</f>
        <v>0</v>
      </c>
      <c r="C20" s="195">
        <f>0</f>
        <v>0</v>
      </c>
      <c r="D20" s="195">
        <f>0</f>
        <v>0</v>
      </c>
      <c r="E20" s="196" t="str">
        <f>""</f>
        <v/>
      </c>
    </row>
    <row r="21" spans="1:5" ht="12.75" customHeight="1" x14ac:dyDescent="0.2">
      <c r="A21" s="73" t="str">
        <f>"   "&amp;Labels!C103</f>
        <v xml:space="preserve">   Subtotal</v>
      </c>
      <c r="B21" s="197">
        <f>IF(SUM(B112:B113)=0,0,SUMPRODUCT(B19:B20,B112:B113)/SUM(B112:B113))</f>
        <v>0</v>
      </c>
      <c r="C21" s="197">
        <f>IF(SUM(C112:C113)=0,0,SUMPRODUCT(C19:C20,C112:C113)/SUM(C112:C113))</f>
        <v>0</v>
      </c>
      <c r="D21" s="197">
        <f>IF(SUM(D112:D113)=0,0,SUMPRODUCT(D19:D20,D112:D113)/SUM(D112:D113))</f>
        <v>0</v>
      </c>
      <c r="E21" s="196" t="str">
        <f>""</f>
        <v/>
      </c>
    </row>
    <row r="22" spans="1:5" ht="12.75" customHeight="1" x14ac:dyDescent="0.2">
      <c r="A22" s="73" t="str">
        <f>Labels!B106</f>
        <v>Preferred</v>
      </c>
      <c r="B22" s="197"/>
      <c r="C22" s="197"/>
      <c r="D22" s="197"/>
      <c r="E22" s="196"/>
    </row>
    <row r="23" spans="1:5" ht="12.75" customHeight="1" x14ac:dyDescent="0.2">
      <c r="A23" s="28" t="str">
        <f>"   "&amp;Labels!B107</f>
        <v xml:space="preserve">   Series A</v>
      </c>
      <c r="B23" s="195">
        <f>B25*1+B25*Inputs!B50</f>
        <v>1.1000000000000001</v>
      </c>
      <c r="C23" s="195">
        <f>C25*1+C25*Inputs!C50</f>
        <v>1100000</v>
      </c>
      <c r="D23" s="195">
        <f>D25*1+D25*Inputs!D50</f>
        <v>1100000</v>
      </c>
      <c r="E23" s="196" t="str">
        <f>""</f>
        <v/>
      </c>
    </row>
    <row r="24" spans="1:5" ht="12.75" customHeight="1" x14ac:dyDescent="0.2">
      <c r="A24" s="73" t="str">
        <f>"   "&amp;Labels!C106</f>
        <v xml:space="preserve">   Subtotal</v>
      </c>
      <c r="B24" s="197">
        <f>IF(SUM(B116)=0,0,SUMPRODUCT(B23,B116)/SUM(B116))</f>
        <v>0</v>
      </c>
      <c r="C24" s="197">
        <f>IF(SUM(C116)=0,0,SUMPRODUCT(C23,C116)/SUM(C116))</f>
        <v>0</v>
      </c>
      <c r="D24" s="197">
        <f>IF(SUM(D116)=0,0,SUMPRODUCT(D23,D116)/SUM(D116))</f>
        <v>0</v>
      </c>
      <c r="E24" s="196" t="str">
        <f>""</f>
        <v/>
      </c>
    </row>
    <row r="25" spans="1:5" ht="12.75" customHeight="1" x14ac:dyDescent="0.2">
      <c r="A25" s="73" t="str">
        <f>Labels!B108</f>
        <v>Common</v>
      </c>
      <c r="B25" s="197">
        <f>IF(1=1,Inputs!B71,B190/(Shares!B56+Shares!B58+Shares!B62+Shares!B57)+(-Investment!B55)/(Shares!B56+Shares!B58+Shares!B62+Shares!B57)+(-Investment!B58)/(Shares!B56+Shares!B58+Shares!B62+Shares!B57))</f>
        <v>1</v>
      </c>
      <c r="C25" s="197">
        <f>IF(2=1,Inputs!B71,C190/(Shares!C56+Shares!C58+Shares!C62+Shares!C57)+(-Investment!C55)/(Shares!C56+Shares!C58+Shares!C62+Shares!C57)+(-Investment!C58)/(Shares!C56+Shares!C58+Shares!C62+Shares!C57))</f>
        <v>1000000</v>
      </c>
      <c r="D25" s="197">
        <f>IF(3=1,Inputs!B71,D190/(Shares!D56+Shares!D58+Shares!D62+Shares!D57)+(-Investment!D55)/(Shares!D56+Shares!D58+Shares!D62+Shares!D57)+(-Investment!D58)/(Shares!D56+Shares!D58+Shares!D62+Shares!D57))</f>
        <v>1000000</v>
      </c>
      <c r="E25" s="196" t="str">
        <f>""</f>
        <v/>
      </c>
    </row>
    <row r="26" spans="1:5" ht="12.75" customHeight="1" x14ac:dyDescent="0.2">
      <c r="A26" s="73" t="str">
        <f>Labels!B109</f>
        <v>Warrant</v>
      </c>
      <c r="B26" s="197">
        <f>MAX(0,B25-B12)</f>
        <v>1</v>
      </c>
      <c r="C26" s="197">
        <f>MAX(0,C25-B12)</f>
        <v>1000000</v>
      </c>
      <c r="D26" s="197">
        <f>MAX(0,D25-B12)</f>
        <v>1000000</v>
      </c>
      <c r="E26" s="196" t="str">
        <f>""</f>
        <v/>
      </c>
    </row>
    <row r="27" spans="1:5" ht="12.75" customHeight="1" x14ac:dyDescent="0.2">
      <c r="A27" s="73" t="str">
        <f>Labels!B110</f>
        <v>Option</v>
      </c>
      <c r="B27" s="197"/>
      <c r="C27" s="197"/>
      <c r="D27" s="197"/>
      <c r="E27" s="196"/>
    </row>
    <row r="28" spans="1:5" ht="12.75" customHeight="1" x14ac:dyDescent="0.2">
      <c r="A28" s="28" t="str">
        <f>"   "&amp;Labels!B111</f>
        <v xml:space="preserve">   Series B</v>
      </c>
      <c r="B28" s="195">
        <f>MAX(0,B25-B14)</f>
        <v>1</v>
      </c>
      <c r="C28" s="195">
        <f>MAX(0,C25-B14)</f>
        <v>1000000</v>
      </c>
      <c r="D28" s="195">
        <f>MAX(0,D25-B14)</f>
        <v>1000000</v>
      </c>
      <c r="E28" s="196" t="str">
        <f>""</f>
        <v/>
      </c>
    </row>
    <row r="29" spans="1:5" ht="12.75" customHeight="1" x14ac:dyDescent="0.2">
      <c r="A29" s="28" t="str">
        <f>"   "&amp;Labels!B112</f>
        <v xml:space="preserve">   Series A</v>
      </c>
      <c r="B29" s="195">
        <f>MAX(0,B25-B15)</f>
        <v>1</v>
      </c>
      <c r="C29" s="195">
        <f>MAX(0,C25-B15)</f>
        <v>1000000</v>
      </c>
      <c r="D29" s="195">
        <f>MAX(0,D25-B15)</f>
        <v>1000000</v>
      </c>
      <c r="E29" s="196" t="str">
        <f>""</f>
        <v/>
      </c>
    </row>
    <row r="30" spans="1:5" ht="12.75" customHeight="1" x14ac:dyDescent="0.2">
      <c r="A30" s="73" t="str">
        <f>"   "&amp;Labels!C110</f>
        <v xml:space="preserve">   Subtotal</v>
      </c>
      <c r="B30" s="197">
        <f>IF(SUM(B121:B122)=0,0,SUMPRODUCT(B28:B29,B121:B122)/SUM(B121:B122))</f>
        <v>0</v>
      </c>
      <c r="C30" s="197">
        <f>IF(SUM(C121:C122)=0,0,SUMPRODUCT(C28:C29,C121:C122)/SUM(C121:C122))</f>
        <v>0</v>
      </c>
      <c r="D30" s="197">
        <f>IF(SUM(D121:D122)=0,0,SUMPRODUCT(D28:D29,D121:D122)/SUM(D121:D122))</f>
        <v>0</v>
      </c>
      <c r="E30" s="196" t="str">
        <f>""</f>
        <v/>
      </c>
    </row>
    <row r="31" spans="1:5" ht="12.75" customHeight="1" x14ac:dyDescent="0.2">
      <c r="A31" s="4" t="str">
        <f>Labels!C102</f>
        <v>Total</v>
      </c>
      <c r="B31" s="198">
        <f>IF(SUM(B114,B117:B119,B123)=0,0,'(FnCalls 1)'!A15/SUM(B114,B117:B119,B123))</f>
        <v>0</v>
      </c>
      <c r="C31" s="198">
        <f>IF(SUM(C114,C117:C119,C123)=0,0,'(FnCalls 1)'!A19/SUM(C114,C117:C119,C123))</f>
        <v>0</v>
      </c>
      <c r="D31" s="198">
        <f>IF(SUM(D114,D117:D119,D123)=0,0,'(FnCalls 1)'!A23/SUM(D114,D117:D119,D123))</f>
        <v>0</v>
      </c>
      <c r="E31" s="199" t="str">
        <f>""</f>
        <v/>
      </c>
    </row>
    <row r="32" spans="1:5" ht="12.75" customHeight="1" x14ac:dyDescent="0.2">
      <c r="A32" s="1" t="str">
        <f>Labels!B52</f>
        <v>Exercise Amt</v>
      </c>
    </row>
    <row r="33" spans="1:5" ht="12.75" customHeight="1" x14ac:dyDescent="0.2">
      <c r="B33" s="6" t="str">
        <f>Labels!B98</f>
        <v>Seed</v>
      </c>
      <c r="C33" s="7" t="str">
        <f>Labels!B99</f>
        <v>Round A</v>
      </c>
      <c r="D33" s="7" t="str">
        <f>Labels!B100</f>
        <v>Exit</v>
      </c>
      <c r="E33" s="25" t="str">
        <f>Labels!C97</f>
        <v>Total</v>
      </c>
    </row>
    <row r="34" spans="1:5" ht="12.75" customHeight="1" x14ac:dyDescent="0.2">
      <c r="A34" s="11" t="str">
        <f>Labels!B91</f>
        <v>Start</v>
      </c>
      <c r="B34" s="26"/>
      <c r="C34" s="26"/>
      <c r="D34" s="26"/>
      <c r="E34" s="27"/>
    </row>
    <row r="35" spans="1:5" ht="12.75" customHeight="1" x14ac:dyDescent="0.2">
      <c r="A35" s="28" t="str">
        <f>"   "&amp;Labels!B103</f>
        <v xml:space="preserve">   Conv Note</v>
      </c>
      <c r="B35" s="70"/>
      <c r="C35" s="70"/>
      <c r="D35" s="70"/>
      <c r="E35" s="30"/>
    </row>
    <row r="36" spans="1:5" ht="12.75" customHeight="1" x14ac:dyDescent="0.2">
      <c r="A36" s="89" t="str">
        <f>"      "&amp;Labels!B104</f>
        <v xml:space="preserve">      Series B</v>
      </c>
      <c r="B36" s="91">
        <f>0</f>
        <v>0</v>
      </c>
      <c r="C36" s="91">
        <f>B96</f>
        <v>0</v>
      </c>
      <c r="D36" s="91">
        <f>C96</f>
        <v>0</v>
      </c>
      <c r="E36" s="30">
        <f>SUM(B36:D36)</f>
        <v>0</v>
      </c>
    </row>
    <row r="37" spans="1:5" ht="12.75" customHeight="1" x14ac:dyDescent="0.2">
      <c r="A37" s="89" t="str">
        <f>"      "&amp;Labels!B105</f>
        <v xml:space="preserve">      Series A</v>
      </c>
      <c r="B37" s="91">
        <f>0</f>
        <v>0</v>
      </c>
      <c r="C37" s="91">
        <f>B97</f>
        <v>0</v>
      </c>
      <c r="D37" s="91">
        <f>C97</f>
        <v>0</v>
      </c>
      <c r="E37" s="30">
        <f>SUM(B37:D37)</f>
        <v>0</v>
      </c>
    </row>
    <row r="38" spans="1:5" ht="12.75" customHeight="1" x14ac:dyDescent="0.2">
      <c r="A38" s="28" t="str">
        <f>"      "&amp;Labels!C103</f>
        <v xml:space="preserve">      Subtotal</v>
      </c>
      <c r="B38" s="70">
        <f>SUM(B36:B37)</f>
        <v>0</v>
      </c>
      <c r="C38" s="70">
        <f>SUM(C36:C37)</f>
        <v>0</v>
      </c>
      <c r="D38" s="70">
        <f>SUM(D36:D37)</f>
        <v>0</v>
      </c>
      <c r="E38" s="30">
        <f>SUM(E36:E37)</f>
        <v>0</v>
      </c>
    </row>
    <row r="39" spans="1:5" ht="12.75" customHeight="1" x14ac:dyDescent="0.2">
      <c r="A39" s="28" t="str">
        <f>"   "&amp;Labels!B106</f>
        <v xml:space="preserve">   Preferred</v>
      </c>
      <c r="B39" s="70"/>
      <c r="C39" s="70"/>
      <c r="D39" s="70"/>
      <c r="E39" s="30"/>
    </row>
    <row r="40" spans="1:5" ht="12.75" customHeight="1" x14ac:dyDescent="0.2">
      <c r="A40" s="89" t="str">
        <f>"      "&amp;Labels!B107</f>
        <v xml:space="preserve">      Series A</v>
      </c>
      <c r="B40" s="91">
        <f>0</f>
        <v>0</v>
      </c>
      <c r="C40" s="91">
        <f>B100</f>
        <v>0</v>
      </c>
      <c r="D40" s="91">
        <f>C100</f>
        <v>0</v>
      </c>
      <c r="E40" s="30">
        <f>SUM(B40:D40)</f>
        <v>0</v>
      </c>
    </row>
    <row r="41" spans="1:5" ht="12.75" customHeight="1" x14ac:dyDescent="0.2">
      <c r="A41" s="28" t="str">
        <f>"      "&amp;Labels!C106</f>
        <v xml:space="preserve">      Subtotal</v>
      </c>
      <c r="B41" s="70">
        <f>B40</f>
        <v>0</v>
      </c>
      <c r="C41" s="70">
        <f>C40</f>
        <v>0</v>
      </c>
      <c r="D41" s="70">
        <f>D40</f>
        <v>0</v>
      </c>
      <c r="E41" s="30">
        <f>E40</f>
        <v>0</v>
      </c>
    </row>
    <row r="42" spans="1:5" ht="12.75" customHeight="1" x14ac:dyDescent="0.2">
      <c r="A42" s="28" t="str">
        <f>"   "&amp;Labels!B108</f>
        <v xml:space="preserve">   Common</v>
      </c>
      <c r="B42" s="70">
        <f>0</f>
        <v>0</v>
      </c>
      <c r="C42" s="70">
        <f>B102</f>
        <v>0</v>
      </c>
      <c r="D42" s="70">
        <f>C102</f>
        <v>0</v>
      </c>
      <c r="E42" s="30">
        <f>SUM(B42:D42)</f>
        <v>0</v>
      </c>
    </row>
    <row r="43" spans="1:5" ht="12.75" customHeight="1" x14ac:dyDescent="0.2">
      <c r="A43" s="28" t="str">
        <f>"   "&amp;Labels!B109</f>
        <v xml:space="preserve">   Warrant</v>
      </c>
      <c r="B43" s="70">
        <f>Options!B13</f>
        <v>0</v>
      </c>
      <c r="C43" s="70">
        <f>Options!C13</f>
        <v>0</v>
      </c>
      <c r="D43" s="70">
        <f>Options!D13</f>
        <v>0</v>
      </c>
      <c r="E43" s="30">
        <f>SUM(B43:D43)</f>
        <v>0</v>
      </c>
    </row>
    <row r="44" spans="1:5" ht="12.75" customHeight="1" x14ac:dyDescent="0.2">
      <c r="A44" s="28" t="str">
        <f>"   "&amp;Labels!B110</f>
        <v xml:space="preserve">   Option</v>
      </c>
      <c r="B44" s="70"/>
      <c r="C44" s="70"/>
      <c r="D44" s="70"/>
      <c r="E44" s="30"/>
    </row>
    <row r="45" spans="1:5" ht="12.75" customHeight="1" x14ac:dyDescent="0.2">
      <c r="A45" s="89" t="str">
        <f>"      "&amp;Labels!B111</f>
        <v xml:space="preserve">      Series B</v>
      </c>
      <c r="B45" s="91">
        <f>Options!B27</f>
        <v>0</v>
      </c>
      <c r="C45" s="91">
        <f>Options!C27</f>
        <v>0</v>
      </c>
      <c r="D45" s="91">
        <f>Options!D27</f>
        <v>0</v>
      </c>
      <c r="E45" s="30">
        <f>SUM(B45:D45)</f>
        <v>0</v>
      </c>
    </row>
    <row r="46" spans="1:5" ht="12.75" customHeight="1" x14ac:dyDescent="0.2">
      <c r="A46" s="89" t="str">
        <f>"      "&amp;Labels!B112</f>
        <v xml:space="preserve">      Series A</v>
      </c>
      <c r="B46" s="91">
        <f>Options!B28</f>
        <v>0</v>
      </c>
      <c r="C46" s="91">
        <f>Options!C28</f>
        <v>0</v>
      </c>
      <c r="D46" s="91">
        <f>Options!D28</f>
        <v>0</v>
      </c>
      <c r="E46" s="30">
        <f>SUM(B46:D46)</f>
        <v>0</v>
      </c>
    </row>
    <row r="47" spans="1:5" ht="12.75" customHeight="1" x14ac:dyDescent="0.2">
      <c r="A47" s="28" t="str">
        <f>"      "&amp;Labels!C110</f>
        <v xml:space="preserve">      Subtotal</v>
      </c>
      <c r="B47" s="70">
        <f>SUM(B45:B46)</f>
        <v>0</v>
      </c>
      <c r="C47" s="70">
        <f>SUM(C45:C46)</f>
        <v>0</v>
      </c>
      <c r="D47" s="70">
        <f>SUM(D45:D46)</f>
        <v>0</v>
      </c>
      <c r="E47" s="30">
        <f>SUM(E45:E46)</f>
        <v>0</v>
      </c>
    </row>
    <row r="48" spans="1:5" ht="12.75" customHeight="1" x14ac:dyDescent="0.2">
      <c r="A48" s="73" t="str">
        <f>"   "&amp;Labels!C102</f>
        <v xml:space="preserve">   Total</v>
      </c>
      <c r="B48" s="74">
        <f>SUM(B38,B41:B43,B47)</f>
        <v>0</v>
      </c>
      <c r="C48" s="74">
        <f>SUM(C38,C41:C43,C47)</f>
        <v>0</v>
      </c>
      <c r="D48" s="74">
        <f>SUM(D38,D41:D43,D47)</f>
        <v>0</v>
      </c>
      <c r="E48" s="30">
        <f>SUM(E38,E41:E43,E47)</f>
        <v>0</v>
      </c>
    </row>
    <row r="49" spans="1:5" ht="12.75" customHeight="1" x14ac:dyDescent="0.2">
      <c r="A49" s="73" t="str">
        <f>Labels!B92</f>
        <v>New Sales</v>
      </c>
      <c r="B49" s="74"/>
      <c r="C49" s="74"/>
      <c r="D49" s="74"/>
      <c r="E49" s="30"/>
    </row>
    <row r="50" spans="1:5" ht="12.75" customHeight="1" x14ac:dyDescent="0.2">
      <c r="A50" s="28" t="str">
        <f>"   "&amp;Labels!B103</f>
        <v xml:space="preserve">   Conv Note</v>
      </c>
      <c r="B50" s="70"/>
      <c r="C50" s="70"/>
      <c r="D50" s="70"/>
      <c r="E50" s="30"/>
    </row>
    <row r="51" spans="1:5" ht="12.75" customHeight="1" x14ac:dyDescent="0.2">
      <c r="A51" s="89" t="str">
        <f>"      "&amp;Labels!B104</f>
        <v xml:space="preserve">      Series B</v>
      </c>
      <c r="B51" s="91">
        <f>B112*B7</f>
        <v>0</v>
      </c>
      <c r="C51" s="91">
        <f>C112*B7</f>
        <v>0</v>
      </c>
      <c r="D51" s="91">
        <f>D112*B7</f>
        <v>0</v>
      </c>
      <c r="E51" s="30">
        <f>SUM(B51:D51)</f>
        <v>0</v>
      </c>
    </row>
    <row r="52" spans="1:5" ht="12.75" customHeight="1" x14ac:dyDescent="0.2">
      <c r="A52" s="89" t="str">
        <f>"      "&amp;Labels!B105</f>
        <v xml:space="preserve">      Series A</v>
      </c>
      <c r="B52" s="91">
        <f>B113*B8</f>
        <v>0</v>
      </c>
      <c r="C52" s="91">
        <f>C113*B8</f>
        <v>0</v>
      </c>
      <c r="D52" s="91">
        <f>D113*B8</f>
        <v>0</v>
      </c>
      <c r="E52" s="30">
        <f>SUM(B52:D52)</f>
        <v>0</v>
      </c>
    </row>
    <row r="53" spans="1:5" ht="12.75" customHeight="1" x14ac:dyDescent="0.2">
      <c r="A53" s="28" t="str">
        <f>"      "&amp;Labels!C103</f>
        <v xml:space="preserve">      Subtotal</v>
      </c>
      <c r="B53" s="70">
        <f>SUM(B51:B52)</f>
        <v>0</v>
      </c>
      <c r="C53" s="70">
        <f>SUM(C51:C52)</f>
        <v>0</v>
      </c>
      <c r="D53" s="70">
        <f>SUM(D51:D52)</f>
        <v>0</v>
      </c>
      <c r="E53" s="30">
        <f>SUM(E51:E52)</f>
        <v>0</v>
      </c>
    </row>
    <row r="54" spans="1:5" ht="12.75" customHeight="1" x14ac:dyDescent="0.2">
      <c r="A54" s="28" t="str">
        <f>"   "&amp;Labels!B106</f>
        <v xml:space="preserve">   Preferred</v>
      </c>
      <c r="B54" s="70"/>
      <c r="C54" s="70"/>
      <c r="D54" s="70"/>
      <c r="E54" s="30"/>
    </row>
    <row r="55" spans="1:5" ht="12.75" customHeight="1" x14ac:dyDescent="0.2">
      <c r="A55" s="89" t="str">
        <f>"      "&amp;Labels!B107</f>
        <v xml:space="preserve">      Series A</v>
      </c>
      <c r="B55" s="91">
        <f>B116*B10</f>
        <v>0</v>
      </c>
      <c r="C55" s="91">
        <f>C116*B10</f>
        <v>0</v>
      </c>
      <c r="D55" s="91">
        <f>D116*B10</f>
        <v>0</v>
      </c>
      <c r="E55" s="30">
        <f>SUM(B55:D55)</f>
        <v>0</v>
      </c>
    </row>
    <row r="56" spans="1:5" ht="12.75" customHeight="1" x14ac:dyDescent="0.2">
      <c r="A56" s="28" t="str">
        <f>"      "&amp;Labels!C106</f>
        <v xml:space="preserve">      Subtotal</v>
      </c>
      <c r="B56" s="70">
        <f>B55</f>
        <v>0</v>
      </c>
      <c r="C56" s="70">
        <f>C55</f>
        <v>0</v>
      </c>
      <c r="D56" s="70">
        <f>D55</f>
        <v>0</v>
      </c>
      <c r="E56" s="30">
        <f>E55</f>
        <v>0</v>
      </c>
    </row>
    <row r="57" spans="1:5" ht="12.75" customHeight="1" x14ac:dyDescent="0.2">
      <c r="A57" s="28" t="str">
        <f>"   "&amp;Labels!B108</f>
        <v xml:space="preserve">   Common</v>
      </c>
      <c r="B57" s="70">
        <f>B118*B11</f>
        <v>0</v>
      </c>
      <c r="C57" s="70">
        <f>C118*B11</f>
        <v>0</v>
      </c>
      <c r="D57" s="70">
        <f>D118*B11</f>
        <v>0</v>
      </c>
      <c r="E57" s="30">
        <f>SUM(B57:D57)</f>
        <v>0</v>
      </c>
    </row>
    <row r="58" spans="1:5" ht="12.75" customHeight="1" x14ac:dyDescent="0.2">
      <c r="A58" s="28" t="str">
        <f>"   "&amp;Labels!B109</f>
        <v xml:space="preserve">   Warrant</v>
      </c>
      <c r="B58" s="70">
        <f>Options!B14</f>
        <v>0</v>
      </c>
      <c r="C58" s="70">
        <f>Options!C14</f>
        <v>0</v>
      </c>
      <c r="D58" s="70">
        <f>Options!D14</f>
        <v>0</v>
      </c>
      <c r="E58" s="30">
        <f>SUM(B58:D58)</f>
        <v>0</v>
      </c>
    </row>
    <row r="59" spans="1:5" ht="12.75" customHeight="1" x14ac:dyDescent="0.2">
      <c r="A59" s="28" t="str">
        <f>"   "&amp;Labels!B110</f>
        <v xml:space="preserve">   Option</v>
      </c>
      <c r="B59" s="70"/>
      <c r="C59" s="70"/>
      <c r="D59" s="70"/>
      <c r="E59" s="30"/>
    </row>
    <row r="60" spans="1:5" ht="12.75" customHeight="1" x14ac:dyDescent="0.2">
      <c r="A60" s="89" t="str">
        <f>"      "&amp;Labels!B111</f>
        <v xml:space="preserve">      Series B</v>
      </c>
      <c r="B60" s="91">
        <f>Options!B31</f>
        <v>0</v>
      </c>
      <c r="C60" s="91">
        <f>Options!C31</f>
        <v>0</v>
      </c>
      <c r="D60" s="91">
        <f>Options!D31</f>
        <v>0</v>
      </c>
      <c r="E60" s="30">
        <f>SUM(B60:D60)</f>
        <v>0</v>
      </c>
    </row>
    <row r="61" spans="1:5" ht="12.75" customHeight="1" x14ac:dyDescent="0.2">
      <c r="A61" s="89" t="str">
        <f>"      "&amp;Labels!B112</f>
        <v xml:space="preserve">      Series A</v>
      </c>
      <c r="B61" s="91">
        <f>Options!B32</f>
        <v>0</v>
      </c>
      <c r="C61" s="91">
        <f>Options!C32</f>
        <v>0</v>
      </c>
      <c r="D61" s="91">
        <f>Options!D32</f>
        <v>0</v>
      </c>
      <c r="E61" s="30">
        <f>SUM(B61:D61)</f>
        <v>0</v>
      </c>
    </row>
    <row r="62" spans="1:5" ht="12.75" customHeight="1" x14ac:dyDescent="0.2">
      <c r="A62" s="28" t="str">
        <f>"      "&amp;Labels!C110</f>
        <v xml:space="preserve">      Subtotal</v>
      </c>
      <c r="B62" s="70">
        <f>SUM(B60:B61)</f>
        <v>0</v>
      </c>
      <c r="C62" s="70">
        <f>SUM(C60:C61)</f>
        <v>0</v>
      </c>
      <c r="D62" s="70">
        <f>SUM(D60:D61)</f>
        <v>0</v>
      </c>
      <c r="E62" s="30">
        <f>SUM(E60:E61)</f>
        <v>0</v>
      </c>
    </row>
    <row r="63" spans="1:5" ht="12.75" customHeight="1" x14ac:dyDescent="0.2">
      <c r="A63" s="73" t="str">
        <f>"   "&amp;Labels!C102</f>
        <v xml:space="preserve">   Total</v>
      </c>
      <c r="B63" s="74">
        <f>SUM(B53,B56:B58,B62)</f>
        <v>0</v>
      </c>
      <c r="C63" s="74">
        <f>SUM(C53,C56:C58,C62)</f>
        <v>0</v>
      </c>
      <c r="D63" s="74">
        <f>SUM(D53,D56:D58,D62)</f>
        <v>0</v>
      </c>
      <c r="E63" s="30">
        <f>SUM(E53,E56:E58,E62)</f>
        <v>0</v>
      </c>
    </row>
    <row r="64" spans="1:5" ht="12.75" customHeight="1" x14ac:dyDescent="0.2">
      <c r="A64" s="73" t="str">
        <f>Labels!B93</f>
        <v>Post Sales</v>
      </c>
      <c r="B64" s="74"/>
      <c r="C64" s="74"/>
      <c r="D64" s="74"/>
      <c r="E64" s="30"/>
    </row>
    <row r="65" spans="1:5" ht="12.75" customHeight="1" x14ac:dyDescent="0.2">
      <c r="A65" s="28" t="str">
        <f>"   "&amp;Labels!B103</f>
        <v xml:space="preserve">   Conv Note</v>
      </c>
      <c r="B65" s="70"/>
      <c r="C65" s="70"/>
      <c r="D65" s="70"/>
      <c r="E65" s="30"/>
    </row>
    <row r="66" spans="1:5" ht="12.75" customHeight="1" x14ac:dyDescent="0.2">
      <c r="A66" s="89" t="str">
        <f>"      "&amp;Labels!B104</f>
        <v xml:space="preserve">      Series B</v>
      </c>
      <c r="B66" s="91">
        <f t="shared" ref="B66:D67" si="0">B36+B51</f>
        <v>0</v>
      </c>
      <c r="C66" s="91">
        <f t="shared" si="0"/>
        <v>0</v>
      </c>
      <c r="D66" s="91">
        <f t="shared" si="0"/>
        <v>0</v>
      </c>
      <c r="E66" s="30">
        <f>SUM(B66:D66)</f>
        <v>0</v>
      </c>
    </row>
    <row r="67" spans="1:5" ht="12.75" customHeight="1" x14ac:dyDescent="0.2">
      <c r="A67" s="89" t="str">
        <f>"      "&amp;Labels!B105</f>
        <v xml:space="preserve">      Series A</v>
      </c>
      <c r="B67" s="91">
        <f t="shared" si="0"/>
        <v>0</v>
      </c>
      <c r="C67" s="91">
        <f t="shared" si="0"/>
        <v>0</v>
      </c>
      <c r="D67" s="91">
        <f t="shared" si="0"/>
        <v>0</v>
      </c>
      <c r="E67" s="30">
        <f>SUM(B67:D67)</f>
        <v>0</v>
      </c>
    </row>
    <row r="68" spans="1:5" ht="12.75" customHeight="1" x14ac:dyDescent="0.2">
      <c r="A68" s="28" t="str">
        <f>"      "&amp;Labels!C103</f>
        <v xml:space="preserve">      Subtotal</v>
      </c>
      <c r="B68" s="70">
        <f>SUM(B66:B67)</f>
        <v>0</v>
      </c>
      <c r="C68" s="70">
        <f>SUM(C66:C67)</f>
        <v>0</v>
      </c>
      <c r="D68" s="70">
        <f>SUM(D66:D67)</f>
        <v>0</v>
      </c>
      <c r="E68" s="30">
        <f>SUM(E66:E67)</f>
        <v>0</v>
      </c>
    </row>
    <row r="69" spans="1:5" ht="12.75" customHeight="1" x14ac:dyDescent="0.2">
      <c r="A69" s="28" t="str">
        <f>"   "&amp;Labels!B106</f>
        <v xml:space="preserve">   Preferred</v>
      </c>
      <c r="B69" s="70"/>
      <c r="C69" s="70"/>
      <c r="D69" s="70"/>
      <c r="E69" s="30"/>
    </row>
    <row r="70" spans="1:5" ht="12.75" customHeight="1" x14ac:dyDescent="0.2">
      <c r="A70" s="89" t="str">
        <f>"      "&amp;Labels!B107</f>
        <v xml:space="preserve">      Series A</v>
      </c>
      <c r="B70" s="91">
        <f>B40+B55</f>
        <v>0</v>
      </c>
      <c r="C70" s="91">
        <f>C40+C55</f>
        <v>0</v>
      </c>
      <c r="D70" s="91">
        <f>D40+D55</f>
        <v>0</v>
      </c>
      <c r="E70" s="30">
        <f>SUM(B70:D70)</f>
        <v>0</v>
      </c>
    </row>
    <row r="71" spans="1:5" ht="12.75" customHeight="1" x14ac:dyDescent="0.2">
      <c r="A71" s="28" t="str">
        <f>"      "&amp;Labels!C106</f>
        <v xml:space="preserve">      Subtotal</v>
      </c>
      <c r="B71" s="70">
        <f>B70</f>
        <v>0</v>
      </c>
      <c r="C71" s="70">
        <f>C70</f>
        <v>0</v>
      </c>
      <c r="D71" s="70">
        <f>D70</f>
        <v>0</v>
      </c>
      <c r="E71" s="30">
        <f>E70</f>
        <v>0</v>
      </c>
    </row>
    <row r="72" spans="1:5" ht="12.75" customHeight="1" x14ac:dyDescent="0.2">
      <c r="A72" s="28" t="str">
        <f>"   "&amp;Labels!B108</f>
        <v xml:space="preserve">   Common</v>
      </c>
      <c r="B72" s="70">
        <f>B42+B57</f>
        <v>0</v>
      </c>
      <c r="C72" s="70">
        <f>C42+C57</f>
        <v>0</v>
      </c>
      <c r="D72" s="70">
        <f>D42+D57</f>
        <v>0</v>
      </c>
      <c r="E72" s="30">
        <f>SUM(B72:D72)</f>
        <v>0</v>
      </c>
    </row>
    <row r="73" spans="1:5" ht="12.75" customHeight="1" x14ac:dyDescent="0.2">
      <c r="A73" s="28" t="str">
        <f>"   "&amp;Labels!B109</f>
        <v xml:space="preserve">   Warrant</v>
      </c>
      <c r="B73" s="70">
        <f>Options!B15</f>
        <v>0</v>
      </c>
      <c r="C73" s="70">
        <f>Options!C15</f>
        <v>0</v>
      </c>
      <c r="D73" s="70">
        <f>Options!D15</f>
        <v>0</v>
      </c>
      <c r="E73" s="30">
        <f>SUM(B73:D73)</f>
        <v>0</v>
      </c>
    </row>
    <row r="74" spans="1:5" ht="12.75" customHeight="1" x14ac:dyDescent="0.2">
      <c r="A74" s="28" t="str">
        <f>"   "&amp;Labels!B110</f>
        <v xml:space="preserve">   Option</v>
      </c>
      <c r="B74" s="70"/>
      <c r="C74" s="70"/>
      <c r="D74" s="70"/>
      <c r="E74" s="30"/>
    </row>
    <row r="75" spans="1:5" ht="12.75" customHeight="1" x14ac:dyDescent="0.2">
      <c r="A75" s="89" t="str">
        <f>"      "&amp;Labels!B111</f>
        <v xml:space="preserve">      Series B</v>
      </c>
      <c r="B75" s="91">
        <f>Options!B35</f>
        <v>0</v>
      </c>
      <c r="C75" s="91">
        <f>Options!C35</f>
        <v>0</v>
      </c>
      <c r="D75" s="91">
        <f>Options!D35</f>
        <v>0</v>
      </c>
      <c r="E75" s="30">
        <f>SUM(B75:D75)</f>
        <v>0</v>
      </c>
    </row>
    <row r="76" spans="1:5" ht="12.75" customHeight="1" x14ac:dyDescent="0.2">
      <c r="A76" s="89" t="str">
        <f>"      "&amp;Labels!B112</f>
        <v xml:space="preserve">      Series A</v>
      </c>
      <c r="B76" s="91">
        <f>Options!B36</f>
        <v>0</v>
      </c>
      <c r="C76" s="91">
        <f>Options!C36</f>
        <v>0</v>
      </c>
      <c r="D76" s="91">
        <f>Options!D36</f>
        <v>0</v>
      </c>
      <c r="E76" s="30">
        <f>SUM(B76:D76)</f>
        <v>0</v>
      </c>
    </row>
    <row r="77" spans="1:5" ht="12.75" customHeight="1" x14ac:dyDescent="0.2">
      <c r="A77" s="28" t="str">
        <f>"      "&amp;Labels!C110</f>
        <v xml:space="preserve">      Subtotal</v>
      </c>
      <c r="B77" s="70">
        <f>SUM(B75:B76)</f>
        <v>0</v>
      </c>
      <c r="C77" s="70">
        <f>SUM(C75:C76)</f>
        <v>0</v>
      </c>
      <c r="D77" s="70">
        <f>SUM(D75:D76)</f>
        <v>0</v>
      </c>
      <c r="E77" s="30">
        <f>SUM(E75:E76)</f>
        <v>0</v>
      </c>
    </row>
    <row r="78" spans="1:5" ht="12.75" customHeight="1" x14ac:dyDescent="0.2">
      <c r="A78" s="73" t="str">
        <f>"   "&amp;Labels!C102</f>
        <v xml:space="preserve">   Total</v>
      </c>
      <c r="B78" s="74">
        <f>SUM(B68,B71:B73,B77)</f>
        <v>0</v>
      </c>
      <c r="C78" s="74">
        <f>SUM(C68,C71:C73,C77)</f>
        <v>0</v>
      </c>
      <c r="D78" s="74">
        <f>SUM(D68,D71:D73,D77)</f>
        <v>0</v>
      </c>
      <c r="E78" s="30">
        <f>SUM(E68,E71:E73,E77)</f>
        <v>0</v>
      </c>
    </row>
    <row r="79" spans="1:5" ht="12.75" customHeight="1" x14ac:dyDescent="0.2">
      <c r="A79" s="73" t="str">
        <f>Labels!B94</f>
        <v>Convert</v>
      </c>
      <c r="B79" s="74"/>
      <c r="C79" s="74"/>
      <c r="D79" s="74"/>
      <c r="E79" s="30"/>
    </row>
    <row r="80" spans="1:5" ht="12.75" customHeight="1" x14ac:dyDescent="0.2">
      <c r="A80" s="28" t="str">
        <f>"   "&amp;Labels!B103</f>
        <v xml:space="preserve">   Conv Note</v>
      </c>
      <c r="B80" s="70"/>
      <c r="C80" s="70"/>
      <c r="D80" s="70"/>
      <c r="E80" s="30"/>
    </row>
    <row r="81" spans="1:5" ht="12.75" customHeight="1" x14ac:dyDescent="0.2">
      <c r="A81" s="89" t="str">
        <f>"      "&amp;Labels!B104</f>
        <v xml:space="preserve">      Series B</v>
      </c>
      <c r="B81" s="91">
        <f>Conversion!B28*B66</f>
        <v>0</v>
      </c>
      <c r="C81" s="91">
        <f>Conversion!C28*C66</f>
        <v>0</v>
      </c>
      <c r="D81" s="91">
        <f>Conversion!D28*D66</f>
        <v>0</v>
      </c>
      <c r="E81" s="30">
        <f>SUM(B81:D81)</f>
        <v>0</v>
      </c>
    </row>
    <row r="82" spans="1:5" ht="12.75" customHeight="1" x14ac:dyDescent="0.2">
      <c r="A82" s="89" t="str">
        <f>"      "&amp;Labels!B105</f>
        <v xml:space="preserve">      Series A</v>
      </c>
      <c r="B82" s="91">
        <f>Conversion!B29*B67</f>
        <v>0</v>
      </c>
      <c r="C82" s="91">
        <f>Conversion!C29*C67</f>
        <v>0</v>
      </c>
      <c r="D82" s="91">
        <f>Conversion!D29*D67</f>
        <v>0</v>
      </c>
      <c r="E82" s="30">
        <f>SUM(B82:D82)</f>
        <v>0</v>
      </c>
    </row>
    <row r="83" spans="1:5" ht="12.75" customHeight="1" x14ac:dyDescent="0.2">
      <c r="A83" s="28" t="str">
        <f>"      "&amp;Labels!C103</f>
        <v xml:space="preserve">      Subtotal</v>
      </c>
      <c r="B83" s="70">
        <f>SUM(B81:B82)</f>
        <v>0</v>
      </c>
      <c r="C83" s="70">
        <f>SUM(C81:C82)</f>
        <v>0</v>
      </c>
      <c r="D83" s="70">
        <f>SUM(D81:D82)</f>
        <v>0</v>
      </c>
      <c r="E83" s="30">
        <f>SUM(E81:E82)</f>
        <v>0</v>
      </c>
    </row>
    <row r="84" spans="1:5" ht="12.75" customHeight="1" x14ac:dyDescent="0.2">
      <c r="A84" s="28" t="str">
        <f>"   "&amp;Labels!B106</f>
        <v xml:space="preserve">   Preferred</v>
      </c>
      <c r="B84" s="70"/>
      <c r="C84" s="70"/>
      <c r="D84" s="70"/>
      <c r="E84" s="30"/>
    </row>
    <row r="85" spans="1:5" ht="12.75" customHeight="1" x14ac:dyDescent="0.2">
      <c r="A85" s="89" t="str">
        <f>"      "&amp;Labels!B107</f>
        <v xml:space="preserve">      Series A</v>
      </c>
      <c r="B85" s="91">
        <f>Conversion!B31*B70</f>
        <v>0</v>
      </c>
      <c r="C85" s="91">
        <f>Conversion!C31*C70</f>
        <v>0</v>
      </c>
      <c r="D85" s="91">
        <f>Conversion!D31*D70</f>
        <v>0</v>
      </c>
      <c r="E85" s="30">
        <f>SUM(B85:D85)</f>
        <v>0</v>
      </c>
    </row>
    <row r="86" spans="1:5" ht="12.75" customHeight="1" x14ac:dyDescent="0.2">
      <c r="A86" s="28" t="str">
        <f>"      "&amp;Labels!C106</f>
        <v xml:space="preserve">      Subtotal</v>
      </c>
      <c r="B86" s="70">
        <f>B85</f>
        <v>0</v>
      </c>
      <c r="C86" s="70">
        <f>C85</f>
        <v>0</v>
      </c>
      <c r="D86" s="70">
        <f>D85</f>
        <v>0</v>
      </c>
      <c r="E86" s="30">
        <f>E85</f>
        <v>0</v>
      </c>
    </row>
    <row r="87" spans="1:5" ht="12.75" customHeight="1" x14ac:dyDescent="0.2">
      <c r="A87" s="28" t="str">
        <f>"   "&amp;Labels!B108</f>
        <v xml:space="preserve">   Common</v>
      </c>
      <c r="B87" s="70">
        <f>Conversion!B32*B72</f>
        <v>0</v>
      </c>
      <c r="C87" s="70">
        <f>Conversion!C32*C72</f>
        <v>0</v>
      </c>
      <c r="D87" s="70">
        <f>Conversion!D32*D72</f>
        <v>0</v>
      </c>
      <c r="E87" s="30">
        <f>SUM(B87:D87)</f>
        <v>0</v>
      </c>
    </row>
    <row r="88" spans="1:5" ht="12.75" customHeight="1" x14ac:dyDescent="0.2">
      <c r="A88" s="28" t="str">
        <f>"   "&amp;Labels!B109</f>
        <v xml:space="preserve">   Warrant</v>
      </c>
      <c r="B88" s="70">
        <f>Options!B16</f>
        <v>0</v>
      </c>
      <c r="C88" s="70">
        <f>Options!C16</f>
        <v>0</v>
      </c>
      <c r="D88" s="70">
        <f>Options!D16</f>
        <v>0</v>
      </c>
      <c r="E88" s="30">
        <f>SUM(B88:D88)</f>
        <v>0</v>
      </c>
    </row>
    <row r="89" spans="1:5" ht="12.75" customHeight="1" x14ac:dyDescent="0.2">
      <c r="A89" s="28" t="str">
        <f>"   "&amp;Labels!B110</f>
        <v xml:space="preserve">   Option</v>
      </c>
      <c r="B89" s="70"/>
      <c r="C89" s="70"/>
      <c r="D89" s="70"/>
      <c r="E89" s="30"/>
    </row>
    <row r="90" spans="1:5" ht="12.75" customHeight="1" x14ac:dyDescent="0.2">
      <c r="A90" s="89" t="str">
        <f>"      "&amp;Labels!B111</f>
        <v xml:space="preserve">      Series B</v>
      </c>
      <c r="B90" s="91">
        <f>Options!B39</f>
        <v>0</v>
      </c>
      <c r="C90" s="91">
        <f>Options!C39</f>
        <v>0</v>
      </c>
      <c r="D90" s="91">
        <f>Options!D39</f>
        <v>0</v>
      </c>
      <c r="E90" s="30">
        <f>SUM(B90:D90)</f>
        <v>0</v>
      </c>
    </row>
    <row r="91" spans="1:5" ht="12.75" customHeight="1" x14ac:dyDescent="0.2">
      <c r="A91" s="89" t="str">
        <f>"      "&amp;Labels!B112</f>
        <v xml:space="preserve">      Series A</v>
      </c>
      <c r="B91" s="91">
        <f>Options!B40</f>
        <v>0</v>
      </c>
      <c r="C91" s="91">
        <f>Options!C40</f>
        <v>0</v>
      </c>
      <c r="D91" s="91">
        <f>Options!D40</f>
        <v>0</v>
      </c>
      <c r="E91" s="30">
        <f>SUM(B91:D91)</f>
        <v>0</v>
      </c>
    </row>
    <row r="92" spans="1:5" ht="12.75" customHeight="1" x14ac:dyDescent="0.2">
      <c r="A92" s="28" t="str">
        <f>"      "&amp;Labels!C110</f>
        <v xml:space="preserve">      Subtotal</v>
      </c>
      <c r="B92" s="70">
        <f>SUM(B90:B91)</f>
        <v>0</v>
      </c>
      <c r="C92" s="70">
        <f>SUM(C90:C91)</f>
        <v>0</v>
      </c>
      <c r="D92" s="70">
        <f>SUM(D90:D91)</f>
        <v>0</v>
      </c>
      <c r="E92" s="30">
        <f>SUM(E90:E91)</f>
        <v>0</v>
      </c>
    </row>
    <row r="93" spans="1:5" ht="12.75" customHeight="1" x14ac:dyDescent="0.2">
      <c r="A93" s="73" t="str">
        <f>"   "&amp;Labels!C102</f>
        <v xml:space="preserve">   Total</v>
      </c>
      <c r="B93" s="74">
        <f>SUM(B83,B86:B88,B92)</f>
        <v>0</v>
      </c>
      <c r="C93" s="74">
        <f>SUM(C83,C86:C88,C92)</f>
        <v>0</v>
      </c>
      <c r="D93" s="74">
        <f>SUM(D83,D86:D88,D92)</f>
        <v>0</v>
      </c>
      <c r="E93" s="30">
        <f>SUM(E83,E86:E88,E92)</f>
        <v>0</v>
      </c>
    </row>
    <row r="94" spans="1:5" ht="12.75" customHeight="1" x14ac:dyDescent="0.2">
      <c r="A94" s="73" t="str">
        <f>Labels!B95</f>
        <v>End</v>
      </c>
      <c r="B94" s="74"/>
      <c r="C94" s="74"/>
      <c r="D94" s="74"/>
      <c r="E94" s="30"/>
    </row>
    <row r="95" spans="1:5" ht="12.75" customHeight="1" x14ac:dyDescent="0.2">
      <c r="A95" s="28" t="str">
        <f>"   "&amp;Labels!B103</f>
        <v xml:space="preserve">   Conv Note</v>
      </c>
      <c r="B95" s="70"/>
      <c r="C95" s="70"/>
      <c r="D95" s="70"/>
      <c r="E95" s="30"/>
    </row>
    <row r="96" spans="1:5" ht="12.75" customHeight="1" x14ac:dyDescent="0.2">
      <c r="A96" s="89" t="str">
        <f>"      "&amp;Labels!B104</f>
        <v xml:space="preserve">      Series B</v>
      </c>
      <c r="B96" s="91">
        <f t="shared" ref="B96:D97" si="1">B66-B81</f>
        <v>0</v>
      </c>
      <c r="C96" s="91">
        <f t="shared" si="1"/>
        <v>0</v>
      </c>
      <c r="D96" s="91">
        <f t="shared" si="1"/>
        <v>0</v>
      </c>
      <c r="E96" s="30">
        <f>SUM(B96:D96)</f>
        <v>0</v>
      </c>
    </row>
    <row r="97" spans="1:5" ht="12.75" customHeight="1" x14ac:dyDescent="0.2">
      <c r="A97" s="89" t="str">
        <f>"      "&amp;Labels!B105</f>
        <v xml:space="preserve">      Series A</v>
      </c>
      <c r="B97" s="91">
        <f t="shared" si="1"/>
        <v>0</v>
      </c>
      <c r="C97" s="91">
        <f t="shared" si="1"/>
        <v>0</v>
      </c>
      <c r="D97" s="91">
        <f t="shared" si="1"/>
        <v>0</v>
      </c>
      <c r="E97" s="30">
        <f>SUM(B97:D97)</f>
        <v>0</v>
      </c>
    </row>
    <row r="98" spans="1:5" ht="12.75" customHeight="1" x14ac:dyDescent="0.2">
      <c r="A98" s="28" t="str">
        <f>"      "&amp;Labels!C103</f>
        <v xml:space="preserve">      Subtotal</v>
      </c>
      <c r="B98" s="70">
        <f>SUM(B96:B97)</f>
        <v>0</v>
      </c>
      <c r="C98" s="70">
        <f>SUM(C96:C97)</f>
        <v>0</v>
      </c>
      <c r="D98" s="70">
        <f>SUM(D96:D97)</f>
        <v>0</v>
      </c>
      <c r="E98" s="30">
        <f>SUM(E96:E97)</f>
        <v>0</v>
      </c>
    </row>
    <row r="99" spans="1:5" ht="12.75" customHeight="1" x14ac:dyDescent="0.2">
      <c r="A99" s="28" t="str">
        <f>"   "&amp;Labels!B106</f>
        <v xml:space="preserve">   Preferred</v>
      </c>
      <c r="B99" s="70"/>
      <c r="C99" s="70"/>
      <c r="D99" s="70"/>
      <c r="E99" s="30"/>
    </row>
    <row r="100" spans="1:5" ht="12.75" customHeight="1" x14ac:dyDescent="0.2">
      <c r="A100" s="89" t="str">
        <f>"      "&amp;Labels!B107</f>
        <v xml:space="preserve">      Series A</v>
      </c>
      <c r="B100" s="91">
        <f>B70-B85</f>
        <v>0</v>
      </c>
      <c r="C100" s="91">
        <f>C70-C85</f>
        <v>0</v>
      </c>
      <c r="D100" s="91">
        <f>D70-D85</f>
        <v>0</v>
      </c>
      <c r="E100" s="30">
        <f>SUM(B100:D100)</f>
        <v>0</v>
      </c>
    </row>
    <row r="101" spans="1:5" ht="12.75" customHeight="1" x14ac:dyDescent="0.2">
      <c r="A101" s="28" t="str">
        <f>"      "&amp;Labels!C106</f>
        <v xml:space="preserve">      Subtotal</v>
      </c>
      <c r="B101" s="70">
        <f>B100</f>
        <v>0</v>
      </c>
      <c r="C101" s="70">
        <f>C100</f>
        <v>0</v>
      </c>
      <c r="D101" s="70">
        <f>D100</f>
        <v>0</v>
      </c>
      <c r="E101" s="30">
        <f>E100</f>
        <v>0</v>
      </c>
    </row>
    <row r="102" spans="1:5" ht="12.75" customHeight="1" x14ac:dyDescent="0.2">
      <c r="A102" s="28" t="str">
        <f>"   "&amp;Labels!B108</f>
        <v xml:space="preserve">   Common</v>
      </c>
      <c r="B102" s="70">
        <f>B72-B87</f>
        <v>0</v>
      </c>
      <c r="C102" s="70">
        <f>C72-C87</f>
        <v>0</v>
      </c>
      <c r="D102" s="70">
        <f>D72-D87</f>
        <v>0</v>
      </c>
      <c r="E102" s="30">
        <f>SUM(B102:D102)</f>
        <v>0</v>
      </c>
    </row>
    <row r="103" spans="1:5" ht="12.75" customHeight="1" x14ac:dyDescent="0.2">
      <c r="A103" s="28" t="str">
        <f>"   "&amp;Labels!B109</f>
        <v xml:space="preserve">   Warrant</v>
      </c>
      <c r="B103" s="70">
        <f>Options!B17</f>
        <v>0</v>
      </c>
      <c r="C103" s="70">
        <f>Options!C17</f>
        <v>0</v>
      </c>
      <c r="D103" s="70">
        <f>Options!D17</f>
        <v>0</v>
      </c>
      <c r="E103" s="30">
        <f>SUM(B103:D103)</f>
        <v>0</v>
      </c>
    </row>
    <row r="104" spans="1:5" ht="12.75" customHeight="1" x14ac:dyDescent="0.2">
      <c r="A104" s="28" t="str">
        <f>"   "&amp;Labels!B110</f>
        <v xml:space="preserve">   Option</v>
      </c>
      <c r="B104" s="70"/>
      <c r="C104" s="70"/>
      <c r="D104" s="70"/>
      <c r="E104" s="30"/>
    </row>
    <row r="105" spans="1:5" ht="12.75" customHeight="1" x14ac:dyDescent="0.2">
      <c r="A105" s="89" t="str">
        <f>"      "&amp;Labels!B111</f>
        <v xml:space="preserve">      Series B</v>
      </c>
      <c r="B105" s="91">
        <f>Options!B43</f>
        <v>0</v>
      </c>
      <c r="C105" s="91">
        <f>Options!C43</f>
        <v>0</v>
      </c>
      <c r="D105" s="91">
        <f>Options!D43</f>
        <v>0</v>
      </c>
      <c r="E105" s="30">
        <f>SUM(B105:D105)</f>
        <v>0</v>
      </c>
    </row>
    <row r="106" spans="1:5" ht="12.75" customHeight="1" x14ac:dyDescent="0.2">
      <c r="A106" s="89" t="str">
        <f>"      "&amp;Labels!B112</f>
        <v xml:space="preserve">      Series A</v>
      </c>
      <c r="B106" s="91">
        <f>Options!B44</f>
        <v>0</v>
      </c>
      <c r="C106" s="91">
        <f>Options!C44</f>
        <v>0</v>
      </c>
      <c r="D106" s="91">
        <f>Options!D44</f>
        <v>0</v>
      </c>
      <c r="E106" s="30">
        <f>SUM(B106:D106)</f>
        <v>0</v>
      </c>
    </row>
    <row r="107" spans="1:5" ht="12.75" customHeight="1" x14ac:dyDescent="0.2">
      <c r="A107" s="28" t="str">
        <f>"      "&amp;Labels!C110</f>
        <v xml:space="preserve">      Subtotal</v>
      </c>
      <c r="B107" s="70">
        <f>SUM(B105:B106)</f>
        <v>0</v>
      </c>
      <c r="C107" s="70">
        <f>SUM(C105:C106)</f>
        <v>0</v>
      </c>
      <c r="D107" s="70">
        <f>SUM(D105:D106)</f>
        <v>0</v>
      </c>
      <c r="E107" s="30">
        <f>SUM(E105:E106)</f>
        <v>0</v>
      </c>
    </row>
    <row r="108" spans="1:5" ht="12.75" customHeight="1" x14ac:dyDescent="0.2">
      <c r="A108" s="15" t="str">
        <f>"   "&amp;Labels!C102</f>
        <v xml:space="preserve">   Total</v>
      </c>
      <c r="B108" s="31">
        <f>SUM(B98,B101:B103,B107)</f>
        <v>0</v>
      </c>
      <c r="C108" s="31">
        <f>SUM(C98,C101:C103,C107)</f>
        <v>0</v>
      </c>
      <c r="D108" s="31">
        <f>SUM(D98,D101:D103,D107)</f>
        <v>0</v>
      </c>
      <c r="E108" s="32">
        <f>SUM(E98,E101:E103,E107)</f>
        <v>0</v>
      </c>
    </row>
    <row r="109" spans="1:5" ht="12.75" customHeight="1" x14ac:dyDescent="0.2">
      <c r="A109" s="1" t="str">
        <f>Labels!B79</f>
        <v>New Units Sold</v>
      </c>
    </row>
    <row r="110" spans="1:5" ht="12.75" customHeight="1" x14ac:dyDescent="0.2">
      <c r="B110" s="6" t="str">
        <f>Labels!B98</f>
        <v>Seed</v>
      </c>
      <c r="C110" s="7" t="str">
        <f>Labels!B99</f>
        <v>Round A</v>
      </c>
      <c r="D110" s="7" t="str">
        <f>Labels!B100</f>
        <v>Exit</v>
      </c>
      <c r="E110" s="25" t="str">
        <f>Labels!C97</f>
        <v>Total</v>
      </c>
    </row>
    <row r="111" spans="1:5" ht="12.75" customHeight="1" x14ac:dyDescent="0.2">
      <c r="A111" s="11" t="str">
        <f>Labels!B103</f>
        <v>Conv Note</v>
      </c>
      <c r="B111" s="60"/>
      <c r="C111" s="60"/>
      <c r="D111" s="60"/>
      <c r="E111" s="61"/>
    </row>
    <row r="112" spans="1:5" ht="12.75" customHeight="1" x14ac:dyDescent="0.2">
      <c r="A112" s="28" t="str">
        <f>"   "&amp;Labels!B104</f>
        <v xml:space="preserve">   Series B</v>
      </c>
      <c r="B112" s="97">
        <f>Boneyard!B63</f>
        <v>0</v>
      </c>
      <c r="C112" s="97">
        <f>Boneyard!C63</f>
        <v>0</v>
      </c>
      <c r="D112" s="97">
        <f>Boneyard!D63</f>
        <v>0</v>
      </c>
      <c r="E112" s="63">
        <f>SUM(B112:D112)</f>
        <v>0</v>
      </c>
    </row>
    <row r="113" spans="1:5" ht="12.75" customHeight="1" x14ac:dyDescent="0.2">
      <c r="A113" s="28" t="str">
        <f>"   "&amp;Labels!B105</f>
        <v xml:space="preserve">   Series A</v>
      </c>
      <c r="B113" s="97">
        <f>Boneyard!B64</f>
        <v>0</v>
      </c>
      <c r="C113" s="97">
        <f>Boneyard!C64</f>
        <v>0</v>
      </c>
      <c r="D113" s="97">
        <f>Boneyard!D64</f>
        <v>0</v>
      </c>
      <c r="E113" s="63">
        <f>SUM(B113:D113)</f>
        <v>0</v>
      </c>
    </row>
    <row r="114" spans="1:5" ht="12.75" customHeight="1" x14ac:dyDescent="0.2">
      <c r="A114" s="73" t="str">
        <f>"   "&amp;Labels!C103</f>
        <v xml:space="preserve">   Subtotal</v>
      </c>
      <c r="B114" s="138">
        <f>SUM(B112:B113)</f>
        <v>0</v>
      </c>
      <c r="C114" s="138">
        <f>SUM(C112:C113)</f>
        <v>0</v>
      </c>
      <c r="D114" s="138">
        <f>SUM(D112:D113)</f>
        <v>0</v>
      </c>
      <c r="E114" s="63">
        <f>SUM(B114:D114)</f>
        <v>0</v>
      </c>
    </row>
    <row r="115" spans="1:5" ht="12.75" customHeight="1" x14ac:dyDescent="0.2">
      <c r="A115" s="73" t="str">
        <f>Labels!B106</f>
        <v>Preferred</v>
      </c>
      <c r="B115" s="138"/>
      <c r="C115" s="138"/>
      <c r="D115" s="138"/>
      <c r="E115" s="63"/>
    </row>
    <row r="116" spans="1:5" ht="12.75" customHeight="1" x14ac:dyDescent="0.2">
      <c r="A116" s="28" t="str">
        <f>"   "&amp;Labels!B107</f>
        <v xml:space="preserve">   Series A</v>
      </c>
      <c r="B116" s="97">
        <f>Boneyard!B67</f>
        <v>0</v>
      </c>
      <c r="C116" s="97">
        <f>Boneyard!C67</f>
        <v>0</v>
      </c>
      <c r="D116" s="97">
        <f>Boneyard!D67</f>
        <v>0</v>
      </c>
      <c r="E116" s="63">
        <f>SUM(B116:D116)</f>
        <v>0</v>
      </c>
    </row>
    <row r="117" spans="1:5" ht="12.75" customHeight="1" x14ac:dyDescent="0.2">
      <c r="A117" s="73" t="str">
        <f>"   "&amp;Labels!C106</f>
        <v xml:space="preserve">   Subtotal</v>
      </c>
      <c r="B117" s="138">
        <f>B116</f>
        <v>0</v>
      </c>
      <c r="C117" s="138">
        <f>C116</f>
        <v>0</v>
      </c>
      <c r="D117" s="138">
        <f>D116</f>
        <v>0</v>
      </c>
      <c r="E117" s="63">
        <f>SUM(B117:D117)</f>
        <v>0</v>
      </c>
    </row>
    <row r="118" spans="1:5" ht="12.75" customHeight="1" x14ac:dyDescent="0.2">
      <c r="A118" s="73" t="str">
        <f>Labels!B108</f>
        <v>Common</v>
      </c>
      <c r="B118" s="138">
        <f>Boneyard!B69</f>
        <v>0</v>
      </c>
      <c r="C118" s="138">
        <f>Boneyard!C69</f>
        <v>0</v>
      </c>
      <c r="D118" s="138">
        <f>Boneyard!D69</f>
        <v>0</v>
      </c>
      <c r="E118" s="63">
        <f>SUM(B118:D118)</f>
        <v>0</v>
      </c>
    </row>
    <row r="119" spans="1:5" ht="12.75" customHeight="1" x14ac:dyDescent="0.2">
      <c r="A119" s="73" t="str">
        <f>Labels!B109</f>
        <v>Warrant</v>
      </c>
      <c r="B119" s="138">
        <f>Boneyard!B70</f>
        <v>0</v>
      </c>
      <c r="C119" s="138">
        <f>Boneyard!C70</f>
        <v>0</v>
      </c>
      <c r="D119" s="138">
        <f>Boneyard!D70</f>
        <v>0</v>
      </c>
      <c r="E119" s="63">
        <f>SUM(B119:D119)</f>
        <v>0</v>
      </c>
    </row>
    <row r="120" spans="1:5" ht="12.75" customHeight="1" x14ac:dyDescent="0.2">
      <c r="A120" s="73" t="str">
        <f>Labels!B110</f>
        <v>Option</v>
      </c>
      <c r="B120" s="138"/>
      <c r="C120" s="138"/>
      <c r="D120" s="138"/>
      <c r="E120" s="63"/>
    </row>
    <row r="121" spans="1:5" ht="12.75" customHeight="1" x14ac:dyDescent="0.2">
      <c r="A121" s="28" t="str">
        <f>"   "&amp;Labels!B111</f>
        <v xml:space="preserve">   Series B</v>
      </c>
      <c r="B121" s="97">
        <f>Inputs!B112</f>
        <v>0</v>
      </c>
      <c r="C121" s="97">
        <f>Inputs!C112</f>
        <v>0</v>
      </c>
      <c r="D121" s="97">
        <f>Inputs!D112</f>
        <v>0</v>
      </c>
      <c r="E121" s="63">
        <f>SUM(B121:D121)</f>
        <v>0</v>
      </c>
    </row>
    <row r="122" spans="1:5" ht="12.75" customHeight="1" x14ac:dyDescent="0.2">
      <c r="A122" s="28" t="str">
        <f>"   "&amp;Labels!B112</f>
        <v xml:space="preserve">   Series A</v>
      </c>
      <c r="B122" s="97">
        <f>Inputs!B113</f>
        <v>0</v>
      </c>
      <c r="C122" s="97">
        <f>Inputs!C113</f>
        <v>0</v>
      </c>
      <c r="D122" s="97">
        <f>Inputs!D113</f>
        <v>0</v>
      </c>
      <c r="E122" s="63">
        <f>SUM(B122:D122)</f>
        <v>0</v>
      </c>
    </row>
    <row r="123" spans="1:5" ht="12.75" customHeight="1" x14ac:dyDescent="0.2">
      <c r="A123" s="73" t="str">
        <f>"   "&amp;Labels!C110</f>
        <v xml:space="preserve">   Subtotal</v>
      </c>
      <c r="B123" s="138">
        <f>SUM(B121:B122)</f>
        <v>0</v>
      </c>
      <c r="C123" s="138">
        <f>SUM(C121:C122)</f>
        <v>0</v>
      </c>
      <c r="D123" s="138">
        <f>SUM(D121:D122)</f>
        <v>0</v>
      </c>
      <c r="E123" s="63">
        <f>SUM(B123:D123)</f>
        <v>0</v>
      </c>
    </row>
    <row r="124" spans="1:5" ht="12.75" customHeight="1" x14ac:dyDescent="0.2">
      <c r="A124" s="4" t="str">
        <f>Labels!C102</f>
        <v>Total</v>
      </c>
      <c r="B124" s="200">
        <f>SUM(B114,B117:B119,B123)</f>
        <v>0</v>
      </c>
      <c r="C124" s="200">
        <f>SUM(C114,C117:C119,C123)</f>
        <v>0</v>
      </c>
      <c r="D124" s="200">
        <f>SUM(D114,D117:D119,D123)</f>
        <v>0</v>
      </c>
      <c r="E124" s="201">
        <f>SUM(B124:D124)</f>
        <v>0</v>
      </c>
    </row>
    <row r="125" spans="1:5" ht="12.75" customHeight="1" x14ac:dyDescent="0.2">
      <c r="A125" s="1" t="str">
        <f>Labels!B7</f>
        <v>Conversion Decisions Detail</v>
      </c>
    </row>
    <row r="126" spans="1:5" ht="12.75" customHeight="1" x14ac:dyDescent="0.2">
      <c r="B126" s="6" t="str">
        <f>Labels!B98</f>
        <v>Seed</v>
      </c>
      <c r="C126" s="7" t="str">
        <f>Labels!B99</f>
        <v>Round A</v>
      </c>
      <c r="D126" s="8" t="str">
        <f>Labels!B100</f>
        <v>Exit</v>
      </c>
    </row>
    <row r="127" spans="1:5" ht="12.75" customHeight="1" x14ac:dyDescent="0.2">
      <c r="A127" s="11" t="str">
        <f>Labels!B103</f>
        <v>Conv Note</v>
      </c>
      <c r="B127" s="114"/>
      <c r="C127" s="114"/>
      <c r="D127" s="115"/>
    </row>
    <row r="128" spans="1:5" ht="12.75" customHeight="1" x14ac:dyDescent="0.2">
      <c r="A128" s="28" t="str">
        <f>"   "&amp;Labels!B104</f>
        <v xml:space="preserve">   Series B</v>
      </c>
      <c r="B128" s="116"/>
      <c r="C128" s="116"/>
      <c r="D128" s="117"/>
    </row>
    <row r="129" spans="1:4" ht="12.75" customHeight="1" x14ac:dyDescent="0.2">
      <c r="A129" s="89" t="str">
        <f>"      "&amp;Labels!B84</f>
        <v xml:space="preserve">      Trigger Date</v>
      </c>
      <c r="B129" s="122">
        <f>Conversion!B61</f>
        <v>0</v>
      </c>
      <c r="C129" s="122">
        <f>Conversion!C61</f>
        <v>1</v>
      </c>
      <c r="D129" s="123">
        <f>Conversion!D61</f>
        <v>1</v>
      </c>
    </row>
    <row r="130" spans="1:4" ht="12.75" customHeight="1" x14ac:dyDescent="0.2">
      <c r="A130" s="89" t="str">
        <f>"      "&amp;Labels!B85</f>
        <v xml:space="preserve">      Trigger Invest</v>
      </c>
      <c r="B130" s="122">
        <f>Conversion!B62</f>
        <v>0</v>
      </c>
      <c r="C130" s="122">
        <f>Conversion!C62</f>
        <v>0</v>
      </c>
      <c r="D130" s="123">
        <f>Conversion!D62</f>
        <v>0</v>
      </c>
    </row>
    <row r="131" spans="1:4" ht="12.75" customHeight="1" x14ac:dyDescent="0.2">
      <c r="A131" s="89" t="str">
        <f>"      "&amp;Labels!B86</f>
        <v xml:space="preserve">      Trigger Value %</v>
      </c>
      <c r="B131" s="122">
        <f>Conversion!B63</f>
        <v>1</v>
      </c>
      <c r="C131" s="122">
        <f>Conversion!C63</f>
        <v>1</v>
      </c>
      <c r="D131" s="123">
        <f>Conversion!D63</f>
        <v>1</v>
      </c>
    </row>
    <row r="132" spans="1:4" ht="12.75" customHeight="1" x14ac:dyDescent="0.2">
      <c r="A132" s="89" t="str">
        <f>"      "&amp;Labels!B87</f>
        <v xml:space="preserve">      Liquidation</v>
      </c>
      <c r="B132" s="122">
        <f>Conversion!B64</f>
        <v>0</v>
      </c>
      <c r="C132" s="122">
        <f>Conversion!C64</f>
        <v>0</v>
      </c>
      <c r="D132" s="123">
        <f>Conversion!D64</f>
        <v>0</v>
      </c>
    </row>
    <row r="133" spans="1:4" ht="12.75" customHeight="1" x14ac:dyDescent="0.2">
      <c r="A133" s="89" t="str">
        <f>"      "&amp;Labels!B88</f>
        <v xml:space="preserve">      Trigger Price</v>
      </c>
      <c r="B133" s="122">
        <f>Conversion!B65</f>
        <v>-1</v>
      </c>
      <c r="C133" s="122">
        <f>Conversion!C65</f>
        <v>-1</v>
      </c>
      <c r="D133" s="123">
        <f>Conversion!D65</f>
        <v>-1</v>
      </c>
    </row>
    <row r="134" spans="1:4" ht="12.75" customHeight="1" x14ac:dyDescent="0.2">
      <c r="A134" s="28" t="str">
        <f>"   "&amp;Labels!B105</f>
        <v xml:space="preserve">   Series A</v>
      </c>
      <c r="B134" s="116"/>
      <c r="C134" s="116"/>
      <c r="D134" s="117"/>
    </row>
    <row r="135" spans="1:4" ht="12.75" customHeight="1" x14ac:dyDescent="0.2">
      <c r="A135" s="89" t="str">
        <f>"      "&amp;Labels!B84</f>
        <v xml:space="preserve">      Trigger Date</v>
      </c>
      <c r="B135" s="122">
        <f>Conversion!B67</f>
        <v>0</v>
      </c>
      <c r="C135" s="122">
        <f>Conversion!C67</f>
        <v>1</v>
      </c>
      <c r="D135" s="123">
        <f>Conversion!D67</f>
        <v>1</v>
      </c>
    </row>
    <row r="136" spans="1:4" ht="12.75" customHeight="1" x14ac:dyDescent="0.2">
      <c r="A136" s="89" t="str">
        <f>"      "&amp;Labels!B85</f>
        <v xml:space="preserve">      Trigger Invest</v>
      </c>
      <c r="B136" s="122">
        <f>Conversion!B68</f>
        <v>0</v>
      </c>
      <c r="C136" s="122">
        <f>Conversion!C68</f>
        <v>0</v>
      </c>
      <c r="D136" s="123">
        <f>Conversion!D68</f>
        <v>0</v>
      </c>
    </row>
    <row r="137" spans="1:4" ht="12.75" customHeight="1" x14ac:dyDescent="0.2">
      <c r="A137" s="89" t="str">
        <f>"      "&amp;Labels!B86</f>
        <v xml:space="preserve">      Trigger Value %</v>
      </c>
      <c r="B137" s="122">
        <f>Conversion!B69</f>
        <v>1</v>
      </c>
      <c r="C137" s="122">
        <f>Conversion!C69</f>
        <v>1</v>
      </c>
      <c r="D137" s="123">
        <f>Conversion!D69</f>
        <v>1</v>
      </c>
    </row>
    <row r="138" spans="1:4" ht="12.75" customHeight="1" x14ac:dyDescent="0.2">
      <c r="A138" s="89" t="str">
        <f>"      "&amp;Labels!B87</f>
        <v xml:space="preserve">      Liquidation</v>
      </c>
      <c r="B138" s="122">
        <f>Conversion!B70</f>
        <v>0</v>
      </c>
      <c r="C138" s="122">
        <f>Conversion!C70</f>
        <v>0</v>
      </c>
      <c r="D138" s="123">
        <f>Conversion!D70</f>
        <v>0</v>
      </c>
    </row>
    <row r="139" spans="1:4" ht="12.75" customHeight="1" x14ac:dyDescent="0.2">
      <c r="A139" s="89" t="str">
        <f>"      "&amp;Labels!B88</f>
        <v xml:space="preserve">      Trigger Price</v>
      </c>
      <c r="B139" s="122">
        <f>Conversion!B71</f>
        <v>-1</v>
      </c>
      <c r="C139" s="122">
        <f>Conversion!C71</f>
        <v>-1</v>
      </c>
      <c r="D139" s="123">
        <f>Conversion!D71</f>
        <v>-1</v>
      </c>
    </row>
    <row r="140" spans="1:4" ht="12.75" customHeight="1" x14ac:dyDescent="0.2">
      <c r="A140" s="73" t="str">
        <f>Labels!B106</f>
        <v>Preferred</v>
      </c>
      <c r="B140" s="202"/>
      <c r="C140" s="202"/>
      <c r="D140" s="203"/>
    </row>
    <row r="141" spans="1:4" ht="12.75" customHeight="1" x14ac:dyDescent="0.2">
      <c r="A141" s="28" t="str">
        <f>"   "&amp;Labels!B107</f>
        <v xml:space="preserve">   Series A</v>
      </c>
      <c r="B141" s="116"/>
      <c r="C141" s="116"/>
      <c r="D141" s="117"/>
    </row>
    <row r="142" spans="1:4" ht="12.75" customHeight="1" x14ac:dyDescent="0.2">
      <c r="A142" s="89" t="str">
        <f>"      "&amp;Labels!B84</f>
        <v xml:space="preserve">      Trigger Date</v>
      </c>
      <c r="B142" s="122">
        <f>Conversion!B74</f>
        <v>0</v>
      </c>
      <c r="C142" s="122">
        <f>Conversion!C74</f>
        <v>1</v>
      </c>
      <c r="D142" s="123">
        <f>Conversion!D74</f>
        <v>1</v>
      </c>
    </row>
    <row r="143" spans="1:4" ht="12.75" customHeight="1" x14ac:dyDescent="0.2">
      <c r="A143" s="89" t="str">
        <f>"      "&amp;Labels!B85</f>
        <v xml:space="preserve">      Trigger Invest</v>
      </c>
      <c r="B143" s="122">
        <f>Conversion!B75</f>
        <v>0</v>
      </c>
      <c r="C143" s="122">
        <f>Conversion!C75</f>
        <v>0</v>
      </c>
      <c r="D143" s="123">
        <f>Conversion!D75</f>
        <v>0</v>
      </c>
    </row>
    <row r="144" spans="1:4" ht="12.75" customHeight="1" x14ac:dyDescent="0.2">
      <c r="A144" s="89" t="str">
        <f>"      "&amp;Labels!B86</f>
        <v xml:space="preserve">      Trigger Value %</v>
      </c>
      <c r="B144" s="122">
        <f>Conversion!B76</f>
        <v>1</v>
      </c>
      <c r="C144" s="122">
        <f>Conversion!C76</f>
        <v>1</v>
      </c>
      <c r="D144" s="123">
        <f>Conversion!D76</f>
        <v>1</v>
      </c>
    </row>
    <row r="145" spans="1:4" ht="12.75" customHeight="1" x14ac:dyDescent="0.2">
      <c r="A145" s="89" t="str">
        <f>"      "&amp;Labels!B87</f>
        <v xml:space="preserve">      Liquidation</v>
      </c>
      <c r="B145" s="122">
        <f>Conversion!B77</f>
        <v>0</v>
      </c>
      <c r="C145" s="122">
        <f>Conversion!C77</f>
        <v>0</v>
      </c>
      <c r="D145" s="123">
        <f>Conversion!D77</f>
        <v>0</v>
      </c>
    </row>
    <row r="146" spans="1:4" ht="12.75" customHeight="1" x14ac:dyDescent="0.2">
      <c r="A146" s="89" t="str">
        <f>"      "&amp;Labels!B88</f>
        <v xml:space="preserve">      Trigger Price</v>
      </c>
      <c r="B146" s="122">
        <f>Conversion!B78</f>
        <v>-1</v>
      </c>
      <c r="C146" s="122">
        <f>Conversion!C78</f>
        <v>-1</v>
      </c>
      <c r="D146" s="123">
        <f>Conversion!D78</f>
        <v>-1</v>
      </c>
    </row>
    <row r="147" spans="1:4" ht="12.75" customHeight="1" x14ac:dyDescent="0.2">
      <c r="A147" s="28" t="str">
        <f>Labels!B108</f>
        <v>Common</v>
      </c>
      <c r="B147" s="116"/>
      <c r="C147" s="116"/>
      <c r="D147" s="117"/>
    </row>
    <row r="148" spans="1:4" ht="12.75" customHeight="1" x14ac:dyDescent="0.2">
      <c r="A148" s="89" t="str">
        <f>"      "&amp;Labels!B84</f>
        <v xml:space="preserve">      Trigger Date</v>
      </c>
      <c r="B148" s="122">
        <f>Conversion!B80</f>
        <v>-1</v>
      </c>
      <c r="C148" s="122">
        <f>Conversion!C80</f>
        <v>-1</v>
      </c>
      <c r="D148" s="123">
        <f>Conversion!D80</f>
        <v>-1</v>
      </c>
    </row>
    <row r="149" spans="1:4" ht="12.75" customHeight="1" x14ac:dyDescent="0.2">
      <c r="A149" s="89" t="str">
        <f>"      "&amp;Labels!B85</f>
        <v xml:space="preserve">      Trigger Invest</v>
      </c>
      <c r="B149" s="122">
        <f>Conversion!B81</f>
        <v>-1</v>
      </c>
      <c r="C149" s="122">
        <f>Conversion!C81</f>
        <v>-1</v>
      </c>
      <c r="D149" s="123">
        <f>Conversion!D81</f>
        <v>-1</v>
      </c>
    </row>
    <row r="150" spans="1:4" ht="12.75" customHeight="1" x14ac:dyDescent="0.2">
      <c r="A150" s="89" t="str">
        <f>"      "&amp;Labels!B86</f>
        <v xml:space="preserve">      Trigger Value %</v>
      </c>
      <c r="B150" s="122">
        <f>Conversion!B82</f>
        <v>-1</v>
      </c>
      <c r="C150" s="122">
        <f>Conversion!C82</f>
        <v>-1</v>
      </c>
      <c r="D150" s="123">
        <f>Conversion!D82</f>
        <v>-1</v>
      </c>
    </row>
    <row r="151" spans="1:4" ht="12.75" customHeight="1" x14ac:dyDescent="0.2">
      <c r="A151" s="89" t="str">
        <f>"      "&amp;Labels!B87</f>
        <v xml:space="preserve">      Liquidation</v>
      </c>
      <c r="B151" s="122">
        <f>Conversion!B83</f>
        <v>-1</v>
      </c>
      <c r="C151" s="122">
        <f>Conversion!C83</f>
        <v>-1</v>
      </c>
      <c r="D151" s="123">
        <f>Conversion!D83</f>
        <v>-1</v>
      </c>
    </row>
    <row r="152" spans="1:4" ht="12.75" customHeight="1" x14ac:dyDescent="0.2">
      <c r="A152" s="89" t="str">
        <f>"      "&amp;Labels!B88</f>
        <v xml:space="preserve">      Trigger Price</v>
      </c>
      <c r="B152" s="122">
        <f>Conversion!B84</f>
        <v>-1</v>
      </c>
      <c r="C152" s="122">
        <f>Conversion!C84</f>
        <v>-1</v>
      </c>
      <c r="D152" s="123">
        <f>Conversion!D84</f>
        <v>-1</v>
      </c>
    </row>
    <row r="153" spans="1:4" ht="12.75" customHeight="1" x14ac:dyDescent="0.2">
      <c r="A153" s="28" t="str">
        <f>Labels!B109</f>
        <v>Warrant</v>
      </c>
      <c r="B153" s="116"/>
      <c r="C153" s="116"/>
      <c r="D153" s="117"/>
    </row>
    <row r="154" spans="1:4" ht="12.75" customHeight="1" x14ac:dyDescent="0.2">
      <c r="A154" s="89" t="str">
        <f>"      "&amp;Labels!B84</f>
        <v xml:space="preserve">      Trigger Date</v>
      </c>
      <c r="B154" s="122">
        <f>Conversion!B86</f>
        <v>0</v>
      </c>
      <c r="C154" s="122">
        <f>Conversion!C86</f>
        <v>1</v>
      </c>
      <c r="D154" s="123">
        <f>Conversion!D86</f>
        <v>1</v>
      </c>
    </row>
    <row r="155" spans="1:4" ht="12.75" customHeight="1" x14ac:dyDescent="0.2">
      <c r="A155" s="89" t="str">
        <f>"      "&amp;Labels!B85</f>
        <v xml:space="preserve">      Trigger Invest</v>
      </c>
      <c r="B155" s="122">
        <f>Conversion!B87</f>
        <v>0</v>
      </c>
      <c r="C155" s="122">
        <f>Conversion!C87</f>
        <v>0</v>
      </c>
      <c r="D155" s="123">
        <f>Conversion!D87</f>
        <v>0</v>
      </c>
    </row>
    <row r="156" spans="1:4" ht="12.75" customHeight="1" x14ac:dyDescent="0.2">
      <c r="A156" s="89" t="str">
        <f>"      "&amp;Labels!B86</f>
        <v xml:space="preserve">      Trigger Value %</v>
      </c>
      <c r="B156" s="122">
        <f>Conversion!B88</f>
        <v>-1</v>
      </c>
      <c r="C156" s="122">
        <f>Conversion!C88</f>
        <v>-1</v>
      </c>
      <c r="D156" s="123">
        <f>Conversion!D88</f>
        <v>-1</v>
      </c>
    </row>
    <row r="157" spans="1:4" ht="12.75" customHeight="1" x14ac:dyDescent="0.2">
      <c r="A157" s="89" t="str">
        <f>"      "&amp;Labels!B87</f>
        <v xml:space="preserve">      Liquidation</v>
      </c>
      <c r="B157" s="122">
        <f>Conversion!B89</f>
        <v>-1</v>
      </c>
      <c r="C157" s="122">
        <f>Conversion!C89</f>
        <v>-1</v>
      </c>
      <c r="D157" s="123">
        <f>Conversion!D89</f>
        <v>-1</v>
      </c>
    </row>
    <row r="158" spans="1:4" ht="12.75" customHeight="1" x14ac:dyDescent="0.2">
      <c r="A158" s="89" t="str">
        <f>"      "&amp;Labels!B88</f>
        <v xml:space="preserve">      Trigger Price</v>
      </c>
      <c r="B158" s="122">
        <f>Conversion!B90</f>
        <v>1</v>
      </c>
      <c r="C158" s="122">
        <f>Conversion!C90</f>
        <v>1</v>
      </c>
      <c r="D158" s="123">
        <f>Conversion!D90</f>
        <v>1</v>
      </c>
    </row>
    <row r="159" spans="1:4" ht="12.75" customHeight="1" x14ac:dyDescent="0.2">
      <c r="A159" s="73" t="str">
        <f>Labels!B110</f>
        <v>Option</v>
      </c>
      <c r="B159" s="202"/>
      <c r="C159" s="202"/>
      <c r="D159" s="203"/>
    </row>
    <row r="160" spans="1:4" ht="12.75" customHeight="1" x14ac:dyDescent="0.2">
      <c r="A160" s="28" t="str">
        <f>"   "&amp;Labels!B111</f>
        <v xml:space="preserve">   Series B</v>
      </c>
      <c r="B160" s="116"/>
      <c r="C160" s="116"/>
      <c r="D160" s="117"/>
    </row>
    <row r="161" spans="1:5" ht="12.75" customHeight="1" x14ac:dyDescent="0.2">
      <c r="A161" s="89" t="str">
        <f>"      "&amp;Labels!B84</f>
        <v xml:space="preserve">      Trigger Date</v>
      </c>
      <c r="B161" s="122">
        <f>Conversion!B93</f>
        <v>0</v>
      </c>
      <c r="C161" s="122">
        <f>Conversion!C93</f>
        <v>1</v>
      </c>
      <c r="D161" s="123">
        <f>Conversion!D93</f>
        <v>1</v>
      </c>
    </row>
    <row r="162" spans="1:5" ht="12.75" customHeight="1" x14ac:dyDescent="0.2">
      <c r="A162" s="89" t="str">
        <f>"      "&amp;Labels!B85</f>
        <v xml:space="preserve">      Trigger Invest</v>
      </c>
      <c r="B162" s="122">
        <f>Conversion!B94</f>
        <v>0</v>
      </c>
      <c r="C162" s="122">
        <f>Conversion!C94</f>
        <v>0</v>
      </c>
      <c r="D162" s="123">
        <f>Conversion!D94</f>
        <v>0</v>
      </c>
    </row>
    <row r="163" spans="1:5" ht="12.75" customHeight="1" x14ac:dyDescent="0.2">
      <c r="A163" s="89" t="str">
        <f>"      "&amp;Labels!B86</f>
        <v xml:space="preserve">      Trigger Value %</v>
      </c>
      <c r="B163" s="122">
        <f>Conversion!B95</f>
        <v>-1</v>
      </c>
      <c r="C163" s="122">
        <f>Conversion!C95</f>
        <v>-1</v>
      </c>
      <c r="D163" s="123">
        <f>Conversion!D95</f>
        <v>-1</v>
      </c>
    </row>
    <row r="164" spans="1:5" ht="12.75" customHeight="1" x14ac:dyDescent="0.2">
      <c r="A164" s="89" t="str">
        <f>"      "&amp;Labels!B87</f>
        <v xml:space="preserve">      Liquidation</v>
      </c>
      <c r="B164" s="122">
        <f>Conversion!B96</f>
        <v>-1</v>
      </c>
      <c r="C164" s="122">
        <f>Conversion!C96</f>
        <v>-1</v>
      </c>
      <c r="D164" s="123">
        <f>Conversion!D96</f>
        <v>-1</v>
      </c>
    </row>
    <row r="165" spans="1:5" ht="12.75" customHeight="1" x14ac:dyDescent="0.2">
      <c r="A165" s="89" t="str">
        <f>"      "&amp;Labels!B88</f>
        <v xml:space="preserve">      Trigger Price</v>
      </c>
      <c r="B165" s="122">
        <f>Conversion!B97</f>
        <v>1</v>
      </c>
      <c r="C165" s="122">
        <f>Conversion!C97</f>
        <v>1</v>
      </c>
      <c r="D165" s="123">
        <f>Conversion!D97</f>
        <v>1</v>
      </c>
    </row>
    <row r="166" spans="1:5" ht="12.75" customHeight="1" x14ac:dyDescent="0.2">
      <c r="A166" s="28" t="str">
        <f>"   "&amp;Labels!B112</f>
        <v xml:space="preserve">   Series A</v>
      </c>
      <c r="B166" s="116"/>
      <c r="C166" s="116"/>
      <c r="D166" s="117"/>
    </row>
    <row r="167" spans="1:5" ht="12.75" customHeight="1" x14ac:dyDescent="0.2">
      <c r="A167" s="89" t="str">
        <f>"      "&amp;Labels!B84</f>
        <v xml:space="preserve">      Trigger Date</v>
      </c>
      <c r="B167" s="122">
        <f>Conversion!B99</f>
        <v>0</v>
      </c>
      <c r="C167" s="122">
        <f>Conversion!C99</f>
        <v>1</v>
      </c>
      <c r="D167" s="123">
        <f>Conversion!D99</f>
        <v>1</v>
      </c>
    </row>
    <row r="168" spans="1:5" ht="12.75" customHeight="1" x14ac:dyDescent="0.2">
      <c r="A168" s="89" t="str">
        <f>"      "&amp;Labels!B85</f>
        <v xml:space="preserve">      Trigger Invest</v>
      </c>
      <c r="B168" s="122">
        <f>Conversion!B100</f>
        <v>0</v>
      </c>
      <c r="C168" s="122">
        <f>Conversion!C100</f>
        <v>0</v>
      </c>
      <c r="D168" s="123">
        <f>Conversion!D100</f>
        <v>0</v>
      </c>
    </row>
    <row r="169" spans="1:5" ht="12.75" customHeight="1" x14ac:dyDescent="0.2">
      <c r="A169" s="89" t="str">
        <f>"      "&amp;Labels!B86</f>
        <v xml:space="preserve">      Trigger Value %</v>
      </c>
      <c r="B169" s="122">
        <f>Conversion!B101</f>
        <v>-1</v>
      </c>
      <c r="C169" s="122">
        <f>Conversion!C101</f>
        <v>-1</v>
      </c>
      <c r="D169" s="123">
        <f>Conversion!D101</f>
        <v>-1</v>
      </c>
    </row>
    <row r="170" spans="1:5" ht="12.75" customHeight="1" x14ac:dyDescent="0.2">
      <c r="A170" s="89" t="str">
        <f>"      "&amp;Labels!B87</f>
        <v xml:space="preserve">      Liquidation</v>
      </c>
      <c r="B170" s="122">
        <f>Conversion!B102</f>
        <v>-1</v>
      </c>
      <c r="C170" s="122">
        <f>Conversion!C102</f>
        <v>-1</v>
      </c>
      <c r="D170" s="123">
        <f>Conversion!D102</f>
        <v>-1</v>
      </c>
    </row>
    <row r="171" spans="1:5" ht="12.75" customHeight="1" x14ac:dyDescent="0.2">
      <c r="A171" s="101" t="str">
        <f>"      "&amp;Labels!B88</f>
        <v xml:space="preserve">      Trigger Price</v>
      </c>
      <c r="B171" s="124">
        <f>Conversion!B103</f>
        <v>1</v>
      </c>
      <c r="C171" s="124">
        <f>Conversion!C103</f>
        <v>1</v>
      </c>
      <c r="D171" s="125">
        <f>Conversion!D103</f>
        <v>1</v>
      </c>
    </row>
    <row r="172" spans="1:5" ht="12.75" customHeight="1" x14ac:dyDescent="0.2">
      <c r="A172" s="1" t="str">
        <f>Labels!B67</f>
        <v>Conversion Price</v>
      </c>
    </row>
    <row r="173" spans="1:5" ht="12.75" customHeight="1" x14ac:dyDescent="0.2">
      <c r="B173" s="6" t="str">
        <f>Labels!B98</f>
        <v>Seed</v>
      </c>
      <c r="C173" s="7" t="str">
        <f>Labels!B99</f>
        <v>Round A</v>
      </c>
      <c r="D173" s="7" t="str">
        <f>Labels!B100</f>
        <v>Exit</v>
      </c>
      <c r="E173" s="25" t="str">
        <f>Labels!C97</f>
        <v>Total</v>
      </c>
    </row>
    <row r="174" spans="1:5" ht="12.75" customHeight="1" x14ac:dyDescent="0.2">
      <c r="A174" s="11" t="str">
        <f>Labels!B103</f>
        <v>Conv Note</v>
      </c>
      <c r="B174" s="51"/>
      <c r="C174" s="51"/>
      <c r="D174" s="51"/>
      <c r="E174" s="134"/>
    </row>
    <row r="175" spans="1:5" ht="12.75" customHeight="1" x14ac:dyDescent="0.2">
      <c r="A175" s="28" t="str">
        <f>"   "&amp;Labels!B104</f>
        <v xml:space="preserve">   Series B</v>
      </c>
      <c r="B175" s="126">
        <f>Prices!B30</f>
        <v>700000.7</v>
      </c>
      <c r="C175" s="126">
        <f>Prices!C30</f>
        <v>700000</v>
      </c>
      <c r="D175" s="126">
        <f>Prices!D30</f>
        <v>700000</v>
      </c>
      <c r="E175" s="135">
        <f>Prices!D30</f>
        <v>700000</v>
      </c>
    </row>
    <row r="176" spans="1:5" ht="12.75" customHeight="1" x14ac:dyDescent="0.2">
      <c r="A176" s="28" t="str">
        <f>"   "&amp;Labels!B105</f>
        <v xml:space="preserve">   Series A</v>
      </c>
      <c r="B176" s="126">
        <f>Prices!B31</f>
        <v>700000.7</v>
      </c>
      <c r="C176" s="126">
        <f>Prices!C31</f>
        <v>700000</v>
      </c>
      <c r="D176" s="126">
        <f>Prices!D31</f>
        <v>700000</v>
      </c>
      <c r="E176" s="135">
        <f>Prices!D31</f>
        <v>700000</v>
      </c>
    </row>
    <row r="177" spans="1:5" ht="12.75" customHeight="1" x14ac:dyDescent="0.2">
      <c r="A177" s="73" t="str">
        <f>"   "&amp;Labels!C103</f>
        <v xml:space="preserve">   Subtotal</v>
      </c>
      <c r="B177" s="204">
        <f>Prices!B31</f>
        <v>700000.7</v>
      </c>
      <c r="C177" s="204">
        <f>Prices!C31</f>
        <v>700000</v>
      </c>
      <c r="D177" s="204">
        <f>Prices!D31</f>
        <v>700000</v>
      </c>
      <c r="E177" s="135">
        <f>Prices!E31</f>
        <v>700000</v>
      </c>
    </row>
    <row r="178" spans="1:5" ht="12.75" customHeight="1" x14ac:dyDescent="0.2">
      <c r="A178" s="73" t="str">
        <f>Labels!B106</f>
        <v>Preferred</v>
      </c>
      <c r="B178" s="204"/>
      <c r="C178" s="204"/>
      <c r="D178" s="204"/>
      <c r="E178" s="135"/>
    </row>
    <row r="179" spans="1:5" ht="12.75" customHeight="1" x14ac:dyDescent="0.2">
      <c r="A179" s="28" t="str">
        <f>"   "&amp;Labels!B107</f>
        <v xml:space="preserve">   Series A</v>
      </c>
      <c r="B179" s="126">
        <f>Prices!B36</f>
        <v>1000001</v>
      </c>
      <c r="C179" s="126">
        <f>Prices!C36</f>
        <v>1000000</v>
      </c>
      <c r="D179" s="126">
        <f>Prices!D36</f>
        <v>1000000</v>
      </c>
      <c r="E179" s="135">
        <f>Prices!D36</f>
        <v>1000000</v>
      </c>
    </row>
    <row r="180" spans="1:5" ht="12.75" customHeight="1" x14ac:dyDescent="0.2">
      <c r="A180" s="73" t="str">
        <f>"   "&amp;Labels!C106</f>
        <v xml:space="preserve">   Subtotal</v>
      </c>
      <c r="B180" s="204">
        <f>Prices!B36</f>
        <v>1000001</v>
      </c>
      <c r="C180" s="204">
        <f>Prices!C36</f>
        <v>1000000</v>
      </c>
      <c r="D180" s="204">
        <f>Prices!D36</f>
        <v>1000000</v>
      </c>
      <c r="E180" s="135">
        <f>Prices!E36</f>
        <v>1000000</v>
      </c>
    </row>
    <row r="181" spans="1:5" ht="12.75" customHeight="1" x14ac:dyDescent="0.2">
      <c r="A181" s="73" t="str">
        <f>Labels!B108</f>
        <v>Common</v>
      </c>
      <c r="B181" s="204">
        <f>MAX(0,IF(Shares!B87=0,0,(B192-B200-B203-SUM(B214:B215)-SUM(B218))/Shares!B87))</f>
        <v>1000001</v>
      </c>
      <c r="C181" s="204">
        <f>MAX(0,IF(Shares!C87=0,0,(C192-C200-C203-SUM(C214:C215)-SUM(C218))/Shares!C87))</f>
        <v>1000000</v>
      </c>
      <c r="D181" s="204">
        <f>MAX(0,IF(Shares!D87=0,0,(D192-D200-D203-SUM(D214:D215)-SUM(D218))/Shares!D87))</f>
        <v>1000000</v>
      </c>
      <c r="E181" s="135">
        <f>D181</f>
        <v>1000000</v>
      </c>
    </row>
    <row r="182" spans="1:5" ht="12.75" customHeight="1" x14ac:dyDescent="0.2">
      <c r="A182" s="73" t="str">
        <f>Labels!B109</f>
        <v>Warrant</v>
      </c>
      <c r="B182" s="204">
        <f>Prices!B40</f>
        <v>1000001</v>
      </c>
      <c r="C182" s="204">
        <f>Prices!C40</f>
        <v>1000000</v>
      </c>
      <c r="D182" s="204">
        <f>Prices!D40</f>
        <v>1000000</v>
      </c>
      <c r="E182" s="135">
        <f>Prices!D40</f>
        <v>1000000</v>
      </c>
    </row>
    <row r="183" spans="1:5" ht="12.75" customHeight="1" x14ac:dyDescent="0.2">
      <c r="A183" s="73" t="str">
        <f>Labels!B110</f>
        <v>Option</v>
      </c>
      <c r="B183" s="204"/>
      <c r="C183" s="204"/>
      <c r="D183" s="204"/>
      <c r="E183" s="135"/>
    </row>
    <row r="184" spans="1:5" ht="12.75" customHeight="1" x14ac:dyDescent="0.2">
      <c r="A184" s="28" t="str">
        <f>"   "&amp;Labels!B111</f>
        <v xml:space="preserve">   Series B</v>
      </c>
      <c r="B184" s="126">
        <f>Prices!B44</f>
        <v>1000001</v>
      </c>
      <c r="C184" s="126">
        <f>Prices!C44</f>
        <v>1000000</v>
      </c>
      <c r="D184" s="126">
        <f>Prices!D44</f>
        <v>1000000</v>
      </c>
      <c r="E184" s="135">
        <f>Prices!D44</f>
        <v>1000000</v>
      </c>
    </row>
    <row r="185" spans="1:5" ht="12.75" customHeight="1" x14ac:dyDescent="0.2">
      <c r="A185" s="28" t="str">
        <f>"   "&amp;Labels!B112</f>
        <v xml:space="preserve">   Series A</v>
      </c>
      <c r="B185" s="126">
        <f>Prices!B45</f>
        <v>1000001</v>
      </c>
      <c r="C185" s="126">
        <f>Prices!C45</f>
        <v>1000000</v>
      </c>
      <c r="D185" s="126">
        <f>Prices!D45</f>
        <v>1000000</v>
      </c>
      <c r="E185" s="135">
        <f>Prices!D45</f>
        <v>1000000</v>
      </c>
    </row>
    <row r="186" spans="1:5" ht="12.75" customHeight="1" x14ac:dyDescent="0.2">
      <c r="A186" s="73" t="str">
        <f>"   "&amp;Labels!C110</f>
        <v xml:space="preserve">   Subtotal</v>
      </c>
      <c r="B186" s="204">
        <f>Prices!B45</f>
        <v>1000001</v>
      </c>
      <c r="C186" s="204">
        <f>Prices!C45</f>
        <v>1000000</v>
      </c>
      <c r="D186" s="204">
        <f>Prices!D45</f>
        <v>1000000</v>
      </c>
      <c r="E186" s="135">
        <f>Prices!E45</f>
        <v>1000000</v>
      </c>
    </row>
    <row r="187" spans="1:5" ht="12.75" customHeight="1" x14ac:dyDescent="0.2">
      <c r="A187" s="4" t="str">
        <f>Labels!C102</f>
        <v>Total</v>
      </c>
      <c r="B187" s="137">
        <f>Prices!B46</f>
        <v>1000001</v>
      </c>
      <c r="C187" s="137">
        <f>Prices!C46</f>
        <v>1000000</v>
      </c>
      <c r="D187" s="137">
        <f>Prices!D46</f>
        <v>1000000</v>
      </c>
      <c r="E187" s="46">
        <f>D187</f>
        <v>1000000</v>
      </c>
    </row>
    <row r="188" spans="1:5" ht="12.75" customHeight="1" x14ac:dyDescent="0.2">
      <c r="A188" s="1" t="str">
        <f>Labels!B22</f>
        <v>Firm Value</v>
      </c>
    </row>
    <row r="189" spans="1:5" ht="12.75" customHeight="1" x14ac:dyDescent="0.2">
      <c r="B189" s="6" t="str">
        <f>Labels!B98</f>
        <v>Seed</v>
      </c>
      <c r="C189" s="7" t="str">
        <f>Labels!B99</f>
        <v>Round A</v>
      </c>
      <c r="D189" s="8" t="str">
        <f>Labels!B100</f>
        <v>Exit</v>
      </c>
    </row>
    <row r="190" spans="1:5" ht="12.75" customHeight="1" x14ac:dyDescent="0.2">
      <c r="A190" s="11" t="str">
        <f>Labels!B91</f>
        <v>Start</v>
      </c>
      <c r="B190" s="26">
        <f>Valuation!B10</f>
        <v>1000000</v>
      </c>
      <c r="C190" s="26">
        <f>Valuation!C10</f>
        <v>1000000</v>
      </c>
      <c r="D190" s="188">
        <f>Valuation!D10</f>
        <v>1000000</v>
      </c>
    </row>
    <row r="191" spans="1:5" ht="12.75" customHeight="1" x14ac:dyDescent="0.2">
      <c r="A191" s="73" t="str">
        <f>Labels!B92</f>
        <v>New Sales</v>
      </c>
      <c r="B191" s="74">
        <f>Investment!B241</f>
        <v>1</v>
      </c>
      <c r="C191" s="74">
        <f>Investment!C241</f>
        <v>0</v>
      </c>
      <c r="D191" s="189">
        <f>Investment!D241</f>
        <v>0</v>
      </c>
    </row>
    <row r="192" spans="1:5" ht="12.75" customHeight="1" x14ac:dyDescent="0.2">
      <c r="A192" s="73" t="str">
        <f>Labels!B93</f>
        <v>Post Sales</v>
      </c>
      <c r="B192" s="74">
        <f>B190+B191</f>
        <v>1000001</v>
      </c>
      <c r="C192" s="74">
        <f>C190+C191</f>
        <v>1000000</v>
      </c>
      <c r="D192" s="189">
        <f>D190+D191</f>
        <v>1000000</v>
      </c>
    </row>
    <row r="193" spans="1:5" ht="12.75" customHeight="1" x14ac:dyDescent="0.2">
      <c r="A193" s="73" t="str">
        <f>Labels!B94</f>
        <v>Convert</v>
      </c>
      <c r="B193" s="74">
        <f>B93</f>
        <v>0</v>
      </c>
      <c r="C193" s="74">
        <f>C93</f>
        <v>0</v>
      </c>
      <c r="D193" s="189">
        <f>D93</f>
        <v>0</v>
      </c>
    </row>
    <row r="194" spans="1:5" ht="12.75" customHeight="1" x14ac:dyDescent="0.2">
      <c r="A194" s="15" t="str">
        <f>Labels!B95</f>
        <v>End</v>
      </c>
      <c r="B194" s="31">
        <f>Valuation!B22</f>
        <v>1000001</v>
      </c>
      <c r="C194" s="31">
        <f>Valuation!C22</f>
        <v>1000000</v>
      </c>
      <c r="D194" s="205">
        <f>Valuation!D22</f>
        <v>1000000</v>
      </c>
    </row>
    <row r="195" spans="1:5" ht="12.75" customHeight="1" x14ac:dyDescent="0.2">
      <c r="A195" s="1" t="str">
        <f>Labels!B48</f>
        <v>Liquidation Preference</v>
      </c>
    </row>
    <row r="196" spans="1:5" ht="12.75" customHeight="1" x14ac:dyDescent="0.2">
      <c r="B196" s="6" t="str">
        <f>Labels!B98</f>
        <v>Seed</v>
      </c>
      <c r="C196" s="7" t="str">
        <f>Labels!B99</f>
        <v>Round A</v>
      </c>
      <c r="D196" s="7" t="str">
        <f>Labels!B100</f>
        <v>Exit</v>
      </c>
      <c r="E196" s="25" t="str">
        <f>Labels!C97</f>
        <v>Total</v>
      </c>
    </row>
    <row r="197" spans="1:5" ht="12.75" customHeight="1" x14ac:dyDescent="0.2">
      <c r="A197" s="11" t="str">
        <f>Labels!B103</f>
        <v>Conv Note</v>
      </c>
      <c r="B197" s="26"/>
      <c r="C197" s="26"/>
      <c r="D197" s="26"/>
      <c r="E197" s="27"/>
    </row>
    <row r="198" spans="1:5" ht="12.75" customHeight="1" x14ac:dyDescent="0.2">
      <c r="A198" s="28" t="str">
        <f>"   "&amp;Labels!B104</f>
        <v xml:space="preserve">   Series B</v>
      </c>
      <c r="B198" s="70">
        <f>Payout!B75</f>
        <v>0</v>
      </c>
      <c r="C198" s="70">
        <f>Payout!C75</f>
        <v>0</v>
      </c>
      <c r="D198" s="70">
        <f>Payout!D75</f>
        <v>0</v>
      </c>
      <c r="E198" s="30">
        <f>SUM(B198:D198)</f>
        <v>0</v>
      </c>
    </row>
    <row r="199" spans="1:5" ht="12.75" customHeight="1" x14ac:dyDescent="0.2">
      <c r="A199" s="28" t="str">
        <f>"   "&amp;Labels!B105</f>
        <v xml:space="preserve">   Series A</v>
      </c>
      <c r="B199" s="70">
        <f>Payout!B76</f>
        <v>0</v>
      </c>
      <c r="C199" s="70">
        <f>Payout!C76</f>
        <v>0</v>
      </c>
      <c r="D199" s="70">
        <f>Payout!D76</f>
        <v>0</v>
      </c>
      <c r="E199" s="30">
        <f>SUM(B199:D199)</f>
        <v>0</v>
      </c>
    </row>
    <row r="200" spans="1:5" ht="12.75" customHeight="1" x14ac:dyDescent="0.2">
      <c r="A200" s="73" t="str">
        <f>"   "&amp;Labels!C103</f>
        <v xml:space="preserve">   Subtotal</v>
      </c>
      <c r="B200" s="74">
        <f>SUM(B198:B199)</f>
        <v>0</v>
      </c>
      <c r="C200" s="74">
        <f>SUM(C198:C199)</f>
        <v>0</v>
      </c>
      <c r="D200" s="74">
        <f>SUM(D198:D199)</f>
        <v>0</v>
      </c>
      <c r="E200" s="30">
        <f>SUM(E198:E199)</f>
        <v>0</v>
      </c>
    </row>
    <row r="201" spans="1:5" ht="12.75" customHeight="1" x14ac:dyDescent="0.2">
      <c r="A201" s="73" t="str">
        <f>Labels!B106</f>
        <v>Preferred</v>
      </c>
      <c r="B201" s="74"/>
      <c r="C201" s="74"/>
      <c r="D201" s="74"/>
      <c r="E201" s="30"/>
    </row>
    <row r="202" spans="1:5" ht="12.75" customHeight="1" x14ac:dyDescent="0.2">
      <c r="A202" s="28" t="str">
        <f>"   "&amp;Labels!B107</f>
        <v xml:space="preserve">   Series A</v>
      </c>
      <c r="B202" s="70">
        <f>Payout!B81</f>
        <v>0</v>
      </c>
      <c r="C202" s="70">
        <f>Payout!C81</f>
        <v>0</v>
      </c>
      <c r="D202" s="70">
        <f>Payout!D81</f>
        <v>0</v>
      </c>
      <c r="E202" s="30">
        <f>SUM(B202:D202)</f>
        <v>0</v>
      </c>
    </row>
    <row r="203" spans="1:5" ht="12.75" customHeight="1" x14ac:dyDescent="0.2">
      <c r="A203" s="73" t="str">
        <f>"   "&amp;Labels!C106</f>
        <v xml:space="preserve">   Subtotal</v>
      </c>
      <c r="B203" s="74">
        <f>Payout!B81</f>
        <v>0</v>
      </c>
      <c r="C203" s="74">
        <f>Payout!C81</f>
        <v>0</v>
      </c>
      <c r="D203" s="74">
        <f>Payout!D81</f>
        <v>0</v>
      </c>
      <c r="E203" s="30">
        <f>Payout!E81</f>
        <v>0</v>
      </c>
    </row>
    <row r="204" spans="1:5" ht="12.75" customHeight="1" x14ac:dyDescent="0.2">
      <c r="A204" s="73" t="str">
        <f>Labels!B108</f>
        <v>Common</v>
      </c>
      <c r="B204" s="74">
        <f>MAX(0,0+(Investment!B296+Investment!B235-Investment!B265)*Boneyard!F25)</f>
        <v>0</v>
      </c>
      <c r="C204" s="74">
        <f>MAX(0,B204+(Investment!C296+Investment!C235-Investment!C265)*Boneyard!F25)</f>
        <v>0</v>
      </c>
      <c r="D204" s="74">
        <f>MAX(0,C204+(Investment!D296+Investment!D235-Investment!D265)*Boneyard!F25)</f>
        <v>0</v>
      </c>
      <c r="E204" s="30">
        <f>SUM(B204:D204)</f>
        <v>0</v>
      </c>
    </row>
    <row r="205" spans="1:5" ht="12.75" customHeight="1" x14ac:dyDescent="0.2">
      <c r="A205" s="73" t="str">
        <f>Labels!B109</f>
        <v>Warrant</v>
      </c>
      <c r="B205" s="74">
        <f>MAX(0,0+(Investment!B297+Investment!B236-Investment!B266)*Boneyard!F26)</f>
        <v>0</v>
      </c>
      <c r="C205" s="74">
        <f>MAX(0,B205+(Investment!C297+Investment!C236-Investment!C266)*Boneyard!F26)</f>
        <v>0</v>
      </c>
      <c r="D205" s="74">
        <f>MAX(0,C205+(Investment!D297+Investment!D236-Investment!D266)*Boneyard!F26)</f>
        <v>0</v>
      </c>
      <c r="E205" s="30">
        <f>SUM(B205:D205)</f>
        <v>0</v>
      </c>
    </row>
    <row r="206" spans="1:5" ht="12.75" customHeight="1" x14ac:dyDescent="0.2">
      <c r="A206" s="73" t="str">
        <f>Labels!B110</f>
        <v>Option</v>
      </c>
      <c r="B206" s="74"/>
      <c r="C206" s="74"/>
      <c r="D206" s="74"/>
      <c r="E206" s="30"/>
    </row>
    <row r="207" spans="1:5" ht="12.75" customHeight="1" x14ac:dyDescent="0.2">
      <c r="A207" s="28" t="str">
        <f>"   "&amp;Labels!B111</f>
        <v xml:space="preserve">   Series B</v>
      </c>
      <c r="B207" s="70">
        <f>MAX(0,0+(Investment!B299+Investment!B238-Investment!B268)*Boneyard!F28)</f>
        <v>0</v>
      </c>
      <c r="C207" s="70">
        <f>MAX(0,B207+(Investment!C299+Investment!C238-Investment!C268)*Boneyard!F28)</f>
        <v>0</v>
      </c>
      <c r="D207" s="70">
        <f>MAX(0,C207+(Investment!D299+Investment!D238-Investment!D268)*Boneyard!F28)</f>
        <v>0</v>
      </c>
      <c r="E207" s="30">
        <f>SUM(B207:D207)</f>
        <v>0</v>
      </c>
    </row>
    <row r="208" spans="1:5" ht="12.75" customHeight="1" x14ac:dyDescent="0.2">
      <c r="A208" s="28" t="str">
        <f>"   "&amp;Labels!B112</f>
        <v xml:space="preserve">   Series A</v>
      </c>
      <c r="B208" s="70">
        <f>MAX(0,0+(Investment!B300+Investment!B239-Investment!B269)*Boneyard!F29)</f>
        <v>0</v>
      </c>
      <c r="C208" s="70">
        <f>MAX(0,B208+(Investment!C300+Investment!C239-Investment!C269)*Boneyard!F29)</f>
        <v>0</v>
      </c>
      <c r="D208" s="70">
        <f>MAX(0,C208+(Investment!D300+Investment!D239-Investment!D269)*Boneyard!F29)</f>
        <v>0</v>
      </c>
      <c r="E208" s="30">
        <f>SUM(B208:D208)</f>
        <v>0</v>
      </c>
    </row>
    <row r="209" spans="1:5" ht="12.75" customHeight="1" x14ac:dyDescent="0.2">
      <c r="A209" s="73" t="str">
        <f>"   "&amp;Labels!C110</f>
        <v xml:space="preserve">   Subtotal</v>
      </c>
      <c r="B209" s="74">
        <f>SUM(B207:B208)</f>
        <v>0</v>
      </c>
      <c r="C209" s="74">
        <f>SUM(C207:C208)</f>
        <v>0</v>
      </c>
      <c r="D209" s="74">
        <f>SUM(D207:D208)</f>
        <v>0</v>
      </c>
      <c r="E209" s="30">
        <f>SUM(B209:D209)</f>
        <v>0</v>
      </c>
    </row>
    <row r="210" spans="1:5" ht="12.75" customHeight="1" x14ac:dyDescent="0.2">
      <c r="A210" s="4" t="str">
        <f>Labels!C102</f>
        <v>Total</v>
      </c>
      <c r="B210" s="77">
        <f>SUM(B200,B203:B205,B209)</f>
        <v>0</v>
      </c>
      <c r="C210" s="77">
        <f>SUM(C200,C203:C205,C209)</f>
        <v>0</v>
      </c>
      <c r="D210" s="77">
        <f>SUM(D200,D203:D205,D209)</f>
        <v>0</v>
      </c>
      <c r="E210" s="47">
        <f>SUM(B210:D210)</f>
        <v>0</v>
      </c>
    </row>
    <row r="211" spans="1:5" ht="12.75" customHeight="1" x14ac:dyDescent="0.2">
      <c r="A211" s="1" t="str">
        <f>Labels!B50</f>
        <v>Liq Preference New</v>
      </c>
    </row>
    <row r="212" spans="1:5" ht="12.75" customHeight="1" x14ac:dyDescent="0.2">
      <c r="B212" s="6" t="str">
        <f>Labels!B98</f>
        <v>Seed</v>
      </c>
      <c r="C212" s="7" t="str">
        <f>Labels!B99</f>
        <v>Round A</v>
      </c>
      <c r="D212" s="7" t="str">
        <f>Labels!B100</f>
        <v>Exit</v>
      </c>
      <c r="E212" s="25" t="str">
        <f>Labels!C97</f>
        <v>Total</v>
      </c>
    </row>
    <row r="213" spans="1:5" ht="12.75" customHeight="1" x14ac:dyDescent="0.2">
      <c r="A213" s="11" t="str">
        <f>Labels!B103</f>
        <v>Conv Note</v>
      </c>
      <c r="B213" s="26"/>
      <c r="C213" s="26"/>
      <c r="D213" s="26"/>
      <c r="E213" s="27"/>
    </row>
    <row r="214" spans="1:5" ht="12.75" customHeight="1" x14ac:dyDescent="0.2">
      <c r="A214" s="28" t="str">
        <f>"   "&amp;Labels!B104</f>
        <v xml:space="preserve">   Series B</v>
      </c>
      <c r="B214" s="70">
        <f>MAX(0,(Investment!B290+Investment!B229)*Inputs!C23)</f>
        <v>0</v>
      </c>
      <c r="C214" s="70">
        <f>MAX(0,(Investment!C290+Investment!C229)*Inputs!C23)</f>
        <v>0</v>
      </c>
      <c r="D214" s="70">
        <f>MAX(0,(Investment!D290+Investment!D229)*Inputs!C23)</f>
        <v>0</v>
      </c>
      <c r="E214" s="30">
        <f>SUM(B214:D214)</f>
        <v>0</v>
      </c>
    </row>
    <row r="215" spans="1:5" ht="12.75" customHeight="1" x14ac:dyDescent="0.2">
      <c r="A215" s="28" t="str">
        <f>"   "&amp;Labels!B105</f>
        <v xml:space="preserve">   Series A</v>
      </c>
      <c r="B215" s="70">
        <f>MAX(0,(Investment!B291+Investment!B230)*Inputs!C24)</f>
        <v>0</v>
      </c>
      <c r="C215" s="70">
        <f>MAX(0,(Investment!C291+Investment!C230)*Inputs!C24)</f>
        <v>0</v>
      </c>
      <c r="D215" s="70">
        <f>MAX(0,(Investment!D291+Investment!D230)*Inputs!C24)</f>
        <v>0</v>
      </c>
      <c r="E215" s="30">
        <f>SUM(B215:D215)</f>
        <v>0</v>
      </c>
    </row>
    <row r="216" spans="1:5" ht="12.75" customHeight="1" x14ac:dyDescent="0.2">
      <c r="A216" s="73" t="str">
        <f>"   "&amp;Labels!C103</f>
        <v xml:space="preserve">   Subtotal</v>
      </c>
      <c r="B216" s="74">
        <f>SUM(B214:B215)</f>
        <v>0</v>
      </c>
      <c r="C216" s="74">
        <f>SUM(C214:C215)</f>
        <v>0</v>
      </c>
      <c r="D216" s="74">
        <f>SUM(D214:D215)</f>
        <v>0</v>
      </c>
      <c r="E216" s="30">
        <f>SUM(B216:D216)</f>
        <v>0</v>
      </c>
    </row>
    <row r="217" spans="1:5" ht="12.75" customHeight="1" x14ac:dyDescent="0.2">
      <c r="A217" s="73" t="str">
        <f>Labels!B106</f>
        <v>Preferred</v>
      </c>
      <c r="B217" s="74"/>
      <c r="C217" s="74"/>
      <c r="D217" s="74"/>
      <c r="E217" s="30"/>
    </row>
    <row r="218" spans="1:5" ht="12.75" customHeight="1" x14ac:dyDescent="0.2">
      <c r="A218" s="28" t="str">
        <f>"   "&amp;Labels!B107</f>
        <v xml:space="preserve">   Series A</v>
      </c>
      <c r="B218" s="70">
        <f>MAX(0,(Investment!B294+Investment!B233)*Inputs!B53)</f>
        <v>0</v>
      </c>
      <c r="C218" s="70">
        <f>MAX(0,(Investment!C294+Investment!C233)*Inputs!B53)</f>
        <v>0</v>
      </c>
      <c r="D218" s="70">
        <f>MAX(0,(Investment!D294+Investment!D233)*Inputs!B53)</f>
        <v>0</v>
      </c>
      <c r="E218" s="30">
        <f>SUM(B218:D218)</f>
        <v>0</v>
      </c>
    </row>
    <row r="219" spans="1:5" ht="12.75" customHeight="1" x14ac:dyDescent="0.2">
      <c r="A219" s="73" t="str">
        <f>"   "&amp;Labels!C106</f>
        <v xml:space="preserve">   Subtotal</v>
      </c>
      <c r="B219" s="74">
        <f>B218</f>
        <v>0</v>
      </c>
      <c r="C219" s="74">
        <f>C218</f>
        <v>0</v>
      </c>
      <c r="D219" s="74">
        <f>D218</f>
        <v>0</v>
      </c>
      <c r="E219" s="30">
        <f>SUM(B219:D219)</f>
        <v>0</v>
      </c>
    </row>
    <row r="220" spans="1:5" ht="12.75" customHeight="1" x14ac:dyDescent="0.2">
      <c r="A220" s="73" t="str">
        <f>Labels!B108</f>
        <v>Common</v>
      </c>
      <c r="B220" s="74">
        <f>MAX(0,(Investment!B296+Investment!B235)*Boneyard!F25)</f>
        <v>0</v>
      </c>
      <c r="C220" s="74">
        <f>MAX(0,(Investment!C296+Investment!C235)*Boneyard!F25)</f>
        <v>0</v>
      </c>
      <c r="D220" s="74">
        <f>MAX(0,(Investment!D296+Investment!D235)*Boneyard!F25)</f>
        <v>0</v>
      </c>
      <c r="E220" s="30">
        <f>SUM(B220:D220)</f>
        <v>0</v>
      </c>
    </row>
    <row r="221" spans="1:5" ht="12.75" customHeight="1" x14ac:dyDescent="0.2">
      <c r="A221" s="73" t="str">
        <f>Labels!B109</f>
        <v>Warrant</v>
      </c>
      <c r="B221" s="74">
        <f>MAX(0,(Investment!B297+Investment!B236)*Boneyard!F26)</f>
        <v>0</v>
      </c>
      <c r="C221" s="74">
        <f>MAX(0,(Investment!C297+Investment!C236)*Boneyard!F26)</f>
        <v>0</v>
      </c>
      <c r="D221" s="74">
        <f>MAX(0,(Investment!D297+Investment!D236)*Boneyard!F26)</f>
        <v>0</v>
      </c>
      <c r="E221" s="30">
        <f>SUM(B221:D221)</f>
        <v>0</v>
      </c>
    </row>
    <row r="222" spans="1:5" ht="12.75" customHeight="1" x14ac:dyDescent="0.2">
      <c r="A222" s="73" t="str">
        <f>Labels!B110</f>
        <v>Option</v>
      </c>
      <c r="B222" s="74"/>
      <c r="C222" s="74"/>
      <c r="D222" s="74"/>
      <c r="E222" s="30"/>
    </row>
    <row r="223" spans="1:5" ht="12.75" customHeight="1" x14ac:dyDescent="0.2">
      <c r="A223" s="28" t="str">
        <f>"   "&amp;Labels!B111</f>
        <v xml:space="preserve">   Series B</v>
      </c>
      <c r="B223" s="70">
        <f>MAX(0,(Investment!B299+Investment!B238)*Boneyard!F28)</f>
        <v>0</v>
      </c>
      <c r="C223" s="70">
        <f>MAX(0,(Investment!C299+Investment!C238)*Boneyard!F28)</f>
        <v>0</v>
      </c>
      <c r="D223" s="70">
        <f>MAX(0,(Investment!D299+Investment!D238)*Boneyard!F28)</f>
        <v>0</v>
      </c>
      <c r="E223" s="30">
        <f>SUM(B223:D223)</f>
        <v>0</v>
      </c>
    </row>
    <row r="224" spans="1:5" ht="12.75" customHeight="1" x14ac:dyDescent="0.2">
      <c r="A224" s="28" t="str">
        <f>"   "&amp;Labels!B112</f>
        <v xml:space="preserve">   Series A</v>
      </c>
      <c r="B224" s="70">
        <f>MAX(0,(Investment!B300+Investment!B239)*Boneyard!F29)</f>
        <v>0</v>
      </c>
      <c r="C224" s="70">
        <f>MAX(0,(Investment!C300+Investment!C239)*Boneyard!F29)</f>
        <v>0</v>
      </c>
      <c r="D224" s="70">
        <f>MAX(0,(Investment!D300+Investment!D239)*Boneyard!F29)</f>
        <v>0</v>
      </c>
      <c r="E224" s="30">
        <f>SUM(B224:D224)</f>
        <v>0</v>
      </c>
    </row>
    <row r="225" spans="1:5" ht="12.75" customHeight="1" x14ac:dyDescent="0.2">
      <c r="A225" s="73" t="str">
        <f>"   "&amp;Labels!C110</f>
        <v xml:space="preserve">   Subtotal</v>
      </c>
      <c r="B225" s="74">
        <f>SUM(B223:B224)</f>
        <v>0</v>
      </c>
      <c r="C225" s="74">
        <f>SUM(C223:C224)</f>
        <v>0</v>
      </c>
      <c r="D225" s="74">
        <f>SUM(D223:D224)</f>
        <v>0</v>
      </c>
      <c r="E225" s="30">
        <f>SUM(B225:D225)</f>
        <v>0</v>
      </c>
    </row>
    <row r="226" spans="1:5" ht="12.75" customHeight="1" x14ac:dyDescent="0.2">
      <c r="A226" s="4" t="str">
        <f>Labels!C102</f>
        <v>Total</v>
      </c>
      <c r="B226" s="77">
        <f>SUM(B216,B219:B221,B225)</f>
        <v>0</v>
      </c>
      <c r="C226" s="77">
        <f>SUM(C216,C219:C221,C225)</f>
        <v>0</v>
      </c>
      <c r="D226" s="77">
        <f>SUM(D216,D219:D221,D225)</f>
        <v>0</v>
      </c>
      <c r="E226" s="47">
        <f>SUM(B226:D226)</f>
        <v>0</v>
      </c>
    </row>
    <row r="227" spans="1:5" ht="12.75" customHeight="1" x14ac:dyDescent="0.2">
      <c r="A227" s="1" t="str">
        <f>Labels!B42</f>
        <v>New Investment</v>
      </c>
    </row>
    <row r="228" spans="1:5" ht="12.75" customHeight="1" x14ac:dyDescent="0.2">
      <c r="B228" s="6" t="str">
        <f>Labels!B98</f>
        <v>Seed</v>
      </c>
      <c r="C228" s="7" t="str">
        <f>Labels!B99</f>
        <v>Round A</v>
      </c>
      <c r="D228" s="7" t="str">
        <f>Labels!B100</f>
        <v>Exit</v>
      </c>
      <c r="E228" s="25" t="str">
        <f>Labels!C97</f>
        <v>Total</v>
      </c>
    </row>
    <row r="229" spans="1:5" ht="12.75" customHeight="1" x14ac:dyDescent="0.2">
      <c r="A229" s="11" t="str">
        <f>Labels!B103</f>
        <v>Conv Note</v>
      </c>
      <c r="B229" s="26"/>
      <c r="C229" s="26"/>
      <c r="D229" s="26"/>
      <c r="E229" s="27"/>
    </row>
    <row r="230" spans="1:5" ht="12.75" customHeight="1" x14ac:dyDescent="0.2">
      <c r="A230" s="28" t="str">
        <f>"   "&amp;Labels!B104</f>
        <v xml:space="preserve">   Series B</v>
      </c>
      <c r="B230" s="70">
        <f>Inputs!B38</f>
        <v>0</v>
      </c>
      <c r="C230" s="70">
        <f>Inputs!C38</f>
        <v>0</v>
      </c>
      <c r="D230" s="70">
        <f>Inputs!D38</f>
        <v>0</v>
      </c>
      <c r="E230" s="30">
        <f>SUM(B230:D230)</f>
        <v>0</v>
      </c>
    </row>
    <row r="231" spans="1:5" ht="12.75" customHeight="1" x14ac:dyDescent="0.2">
      <c r="A231" s="28" t="str">
        <f>"   "&amp;Labels!B105</f>
        <v xml:space="preserve">   Series A</v>
      </c>
      <c r="B231" s="70">
        <f>Inputs!B39</f>
        <v>0</v>
      </c>
      <c r="C231" s="70">
        <f>Inputs!C39</f>
        <v>0</v>
      </c>
      <c r="D231" s="70">
        <f>Inputs!D39</f>
        <v>0</v>
      </c>
      <c r="E231" s="30">
        <f>SUM(B231:D231)</f>
        <v>0</v>
      </c>
    </row>
    <row r="232" spans="1:5" ht="12.75" customHeight="1" x14ac:dyDescent="0.2">
      <c r="A232" s="73" t="str">
        <f>"   "&amp;Labels!C103</f>
        <v xml:space="preserve">   Subtotal</v>
      </c>
      <c r="B232" s="74">
        <f>SUM(B230:B231)</f>
        <v>0</v>
      </c>
      <c r="C232" s="74">
        <f>SUM(C230:C231)</f>
        <v>0</v>
      </c>
      <c r="D232" s="74">
        <f>SUM(D230:D231)</f>
        <v>0</v>
      </c>
      <c r="E232" s="30">
        <f>SUM(E230:E231)</f>
        <v>0</v>
      </c>
    </row>
    <row r="233" spans="1:5" ht="12.75" customHeight="1" x14ac:dyDescent="0.2">
      <c r="A233" s="73" t="str">
        <f>Labels!B106</f>
        <v>Preferred</v>
      </c>
      <c r="B233" s="74"/>
      <c r="C233" s="74"/>
      <c r="D233" s="74"/>
      <c r="E233" s="30"/>
    </row>
    <row r="234" spans="1:5" ht="12.75" customHeight="1" x14ac:dyDescent="0.2">
      <c r="A234" s="28" t="str">
        <f>"   "&amp;Labels!B107</f>
        <v xml:space="preserve">   Series A</v>
      </c>
      <c r="B234" s="70">
        <f>Inputs!B65</f>
        <v>0</v>
      </c>
      <c r="C234" s="70">
        <f>Inputs!C65</f>
        <v>0</v>
      </c>
      <c r="D234" s="70">
        <f>Inputs!D65</f>
        <v>0</v>
      </c>
      <c r="E234" s="30">
        <f>SUM(B234:D234)</f>
        <v>0</v>
      </c>
    </row>
    <row r="235" spans="1:5" ht="12.75" customHeight="1" x14ac:dyDescent="0.2">
      <c r="A235" s="73" t="str">
        <f>"   "&amp;Labels!C106</f>
        <v xml:space="preserve">   Subtotal</v>
      </c>
      <c r="B235" s="74">
        <f>B234</f>
        <v>0</v>
      </c>
      <c r="C235" s="74">
        <f>C234</f>
        <v>0</v>
      </c>
      <c r="D235" s="74">
        <f>D234</f>
        <v>0</v>
      </c>
      <c r="E235" s="30">
        <f>E234</f>
        <v>0</v>
      </c>
    </row>
    <row r="236" spans="1:5" ht="12.75" customHeight="1" x14ac:dyDescent="0.2">
      <c r="A236" s="73" t="str">
        <f>Labels!B108</f>
        <v>Common</v>
      </c>
      <c r="B236" s="74">
        <f>Inputs!B83</f>
        <v>1</v>
      </c>
      <c r="C236" s="74">
        <f>Inputs!C83</f>
        <v>0</v>
      </c>
      <c r="D236" s="74">
        <f>Inputs!D83</f>
        <v>0</v>
      </c>
      <c r="E236" s="30">
        <f>SUM(B236:D236)</f>
        <v>1</v>
      </c>
    </row>
    <row r="237" spans="1:5" ht="12.75" customHeight="1" x14ac:dyDescent="0.2">
      <c r="A237" s="73" t="str">
        <f>Labels!B109</f>
        <v>Warrant</v>
      </c>
      <c r="B237" s="74">
        <f>Boneyard!B54</f>
        <v>0</v>
      </c>
      <c r="C237" s="74">
        <f>Boneyard!C54</f>
        <v>0</v>
      </c>
      <c r="D237" s="74">
        <f>Boneyard!D54</f>
        <v>0</v>
      </c>
      <c r="E237" s="30">
        <f>SUM(B237:D237)</f>
        <v>0</v>
      </c>
    </row>
    <row r="238" spans="1:5" ht="12.75" customHeight="1" x14ac:dyDescent="0.2">
      <c r="A238" s="73" t="str">
        <f>Labels!B110</f>
        <v>Option</v>
      </c>
      <c r="B238" s="74"/>
      <c r="C238" s="74"/>
      <c r="D238" s="74"/>
      <c r="E238" s="30"/>
    </row>
    <row r="239" spans="1:5" ht="12.75" customHeight="1" x14ac:dyDescent="0.2">
      <c r="A239" s="28" t="str">
        <f>"   "&amp;Labels!B111</f>
        <v xml:space="preserve">   Series B</v>
      </c>
      <c r="B239" s="70">
        <f>Boneyard!B56</f>
        <v>0</v>
      </c>
      <c r="C239" s="70">
        <f>Boneyard!C56</f>
        <v>0</v>
      </c>
      <c r="D239" s="70">
        <f>Boneyard!D56</f>
        <v>0</v>
      </c>
      <c r="E239" s="30">
        <f>SUM(B239:D239)</f>
        <v>0</v>
      </c>
    </row>
    <row r="240" spans="1:5" ht="12.75" customHeight="1" x14ac:dyDescent="0.2">
      <c r="A240" s="28" t="str">
        <f>"   "&amp;Labels!B112</f>
        <v xml:space="preserve">   Series A</v>
      </c>
      <c r="B240" s="70">
        <f>Boneyard!B57</f>
        <v>0</v>
      </c>
      <c r="C240" s="70">
        <f>Boneyard!C57</f>
        <v>0</v>
      </c>
      <c r="D240" s="70">
        <f>Boneyard!D57</f>
        <v>0</v>
      </c>
      <c r="E240" s="30">
        <f>SUM(B240:D240)</f>
        <v>0</v>
      </c>
    </row>
    <row r="241" spans="1:5" ht="12.75" customHeight="1" x14ac:dyDescent="0.2">
      <c r="A241" s="73" t="str">
        <f>"   "&amp;Labels!C110</f>
        <v xml:space="preserve">   Subtotal</v>
      </c>
      <c r="B241" s="74">
        <f>SUM(B239:B240)</f>
        <v>0</v>
      </c>
      <c r="C241" s="74">
        <f>SUM(C239:C240)</f>
        <v>0</v>
      </c>
      <c r="D241" s="74">
        <f>SUM(D239:D240)</f>
        <v>0</v>
      </c>
      <c r="E241" s="30">
        <f>SUM(E239:E240)</f>
        <v>0</v>
      </c>
    </row>
    <row r="242" spans="1:5" ht="12.75" customHeight="1" x14ac:dyDescent="0.2">
      <c r="A242" s="4" t="str">
        <f>Labels!C102</f>
        <v>Total</v>
      </c>
      <c r="B242" s="77">
        <f>SUM(B232,B235:B237,B241)</f>
        <v>1</v>
      </c>
      <c r="C242" s="77">
        <f>SUM(C232,C235:C237,C241)</f>
        <v>0</v>
      </c>
      <c r="D242" s="77">
        <f>SUM(D232,D235:D237,D241)</f>
        <v>0</v>
      </c>
      <c r="E242" s="47">
        <f>SUM(E232,E235:E237,E241)</f>
        <v>1</v>
      </c>
    </row>
    <row r="243" spans="1:5" ht="12.75" customHeight="1" x14ac:dyDescent="0.2">
      <c r="A243" s="1" t="str">
        <f>Labels!B16</f>
        <v>Dividend by Origin</v>
      </c>
    </row>
    <row r="244" spans="1:5" ht="12.75" customHeight="1" x14ac:dyDescent="0.2">
      <c r="B244" s="6" t="str">
        <f>Labels!B98</f>
        <v>Seed</v>
      </c>
      <c r="C244" s="7" t="str">
        <f>Labels!B99</f>
        <v>Round A</v>
      </c>
      <c r="D244" s="7" t="str">
        <f>Labels!B100</f>
        <v>Exit</v>
      </c>
      <c r="E244" s="25" t="str">
        <f>Labels!C97</f>
        <v>Total</v>
      </c>
    </row>
    <row r="245" spans="1:5" ht="12.75" customHeight="1" x14ac:dyDescent="0.2">
      <c r="A245" s="11" t="str">
        <f>Labels!B103</f>
        <v>Conv Note</v>
      </c>
      <c r="B245" s="26"/>
      <c r="C245" s="26"/>
      <c r="D245" s="26"/>
      <c r="E245" s="27"/>
    </row>
    <row r="246" spans="1:5" ht="12.75" customHeight="1" x14ac:dyDescent="0.2">
      <c r="A246" s="28" t="str">
        <f>"   "&amp;Labels!B104</f>
        <v xml:space="preserve">   Series B</v>
      </c>
      <c r="B246" s="70">
        <f>Inputs!D23*0*(Investment!B209-Investment!B209)/365+Inputs!B76*0</f>
        <v>0</v>
      </c>
      <c r="C246" s="70">
        <f>Inputs!D23*Investment!B274*(Investment!C209-Investment!B209)/365+Inputs!C76*B262/Shares!B36</f>
        <v>0</v>
      </c>
      <c r="D246" s="70">
        <f>Inputs!D23*Investment!C274*(Investment!D209-Investment!C209)/365+Inputs!D76*C262/Shares!C36</f>
        <v>0</v>
      </c>
      <c r="E246" s="30">
        <f>SUM(B246:D246)</f>
        <v>0</v>
      </c>
    </row>
    <row r="247" spans="1:5" ht="12.75" customHeight="1" x14ac:dyDescent="0.2">
      <c r="A247" s="28" t="str">
        <f>"   "&amp;Labels!B105</f>
        <v xml:space="preserve">   Series A</v>
      </c>
      <c r="B247" s="70">
        <f>Inputs!D24*0*(Investment!B209-Investment!B209)/365+Inputs!B76*0</f>
        <v>0</v>
      </c>
      <c r="C247" s="70">
        <f>Inputs!D24*Investment!B275*(Investment!C209-Investment!B209)/365+Inputs!C76*B263/Shares!B36</f>
        <v>0</v>
      </c>
      <c r="D247" s="70">
        <f>Inputs!D24*Investment!C275*(Investment!D209-Investment!C209)/365+Inputs!D76*C263/Shares!C36</f>
        <v>0</v>
      </c>
      <c r="E247" s="30">
        <f>SUM(B247:D247)</f>
        <v>0</v>
      </c>
    </row>
    <row r="248" spans="1:5" ht="12.75" customHeight="1" x14ac:dyDescent="0.2">
      <c r="A248" s="73" t="str">
        <f>"   "&amp;Labels!C103</f>
        <v xml:space="preserve">   Subtotal</v>
      </c>
      <c r="B248" s="74">
        <f>SUM(B246:B247)</f>
        <v>0</v>
      </c>
      <c r="C248" s="74">
        <f>SUM(C246:C247)</f>
        <v>0</v>
      </c>
      <c r="D248" s="74">
        <f>SUM(D246:D247)</f>
        <v>0</v>
      </c>
      <c r="E248" s="30">
        <f>SUM(B248:D248)</f>
        <v>0</v>
      </c>
    </row>
    <row r="249" spans="1:5" ht="12.75" customHeight="1" x14ac:dyDescent="0.2">
      <c r="A249" s="73" t="str">
        <f>Labels!B106</f>
        <v>Preferred</v>
      </c>
      <c r="B249" s="74"/>
      <c r="C249" s="74"/>
      <c r="D249" s="74"/>
      <c r="E249" s="30"/>
    </row>
    <row r="250" spans="1:5" ht="12.75" customHeight="1" x14ac:dyDescent="0.2">
      <c r="A250" s="28" t="str">
        <f>"   "&amp;Labels!B107</f>
        <v xml:space="preserve">   Series A</v>
      </c>
      <c r="B250" s="70">
        <f>Inputs!C53*0*(Investment!B209-Investment!B209)/365+Inputs!B76*0</f>
        <v>0</v>
      </c>
      <c r="C250" s="70">
        <f>Inputs!C53*Investment!B278*(Investment!C209-Investment!B209)/365+Inputs!C76*B265/Shares!B36</f>
        <v>0</v>
      </c>
      <c r="D250" s="70">
        <f>Inputs!C53*Investment!C278*(Investment!D209-Investment!C209)/365+Inputs!D76*C265/Shares!C36</f>
        <v>0</v>
      </c>
      <c r="E250" s="30">
        <f>SUM(B250:D250)</f>
        <v>0</v>
      </c>
    </row>
    <row r="251" spans="1:5" ht="12.75" customHeight="1" x14ac:dyDescent="0.2">
      <c r="A251" s="73" t="str">
        <f>"   "&amp;Labels!C106</f>
        <v xml:space="preserve">   Subtotal</v>
      </c>
      <c r="B251" s="74">
        <f>B250</f>
        <v>0</v>
      </c>
      <c r="C251" s="74">
        <f>C250</f>
        <v>0</v>
      </c>
      <c r="D251" s="74">
        <f>D250</f>
        <v>0</v>
      </c>
      <c r="E251" s="30">
        <f>SUM(B251:D251)</f>
        <v>0</v>
      </c>
    </row>
    <row r="252" spans="1:5" ht="12.75" customHeight="1" x14ac:dyDescent="0.2">
      <c r="A252" s="73" t="str">
        <f>Labels!B108</f>
        <v>Common</v>
      </c>
      <c r="B252" s="74">
        <f>Inputs!B76*0</f>
        <v>0</v>
      </c>
      <c r="C252" s="74">
        <f>Inputs!C76*B266/Shares!B36</f>
        <v>0</v>
      </c>
      <c r="D252" s="74">
        <f>Inputs!D76*C266/Shares!C36</f>
        <v>0</v>
      </c>
      <c r="E252" s="30">
        <f>SUM(B252:D252)</f>
        <v>0</v>
      </c>
    </row>
    <row r="253" spans="1:5" ht="12.75" customHeight="1" x14ac:dyDescent="0.2">
      <c r="A253" s="73" t="str">
        <f>Labels!B109</f>
        <v>Warrant</v>
      </c>
      <c r="B253" s="74">
        <f>Boneyard!B26*0*(Investment!B209-Investment!B209)/365+Inputs!B76*0</f>
        <v>0</v>
      </c>
      <c r="C253" s="74">
        <f>Boneyard!B26*Investment!B281*(Investment!C209-Investment!B209)/365+Inputs!C76*B267/Shares!B36</f>
        <v>0</v>
      </c>
      <c r="D253" s="74">
        <f>Boneyard!B26*Investment!C281*(Investment!D209-Investment!C209)/365+Inputs!D76*C267/Shares!C36</f>
        <v>0</v>
      </c>
      <c r="E253" s="30">
        <f>SUM(B253:D253)</f>
        <v>0</v>
      </c>
    </row>
    <row r="254" spans="1:5" ht="12.75" customHeight="1" x14ac:dyDescent="0.2">
      <c r="A254" s="73" t="str">
        <f>Labels!B110</f>
        <v>Option</v>
      </c>
      <c r="B254" s="74"/>
      <c r="C254" s="74"/>
      <c r="D254" s="74"/>
      <c r="E254" s="30"/>
    </row>
    <row r="255" spans="1:5" ht="12.75" customHeight="1" x14ac:dyDescent="0.2">
      <c r="A255" s="28" t="str">
        <f>"   "&amp;Labels!B111</f>
        <v xml:space="preserve">   Series B</v>
      </c>
      <c r="B255" s="70">
        <f>Boneyard!B28*0*(Investment!B209-Investment!B209)/365+Inputs!B76*0</f>
        <v>0</v>
      </c>
      <c r="C255" s="70">
        <f>Boneyard!B28*Investment!B283*(Investment!C209-Investment!B209)/365+Inputs!C76*B269/Shares!B36</f>
        <v>0</v>
      </c>
      <c r="D255" s="70">
        <f>Boneyard!B28*Investment!C283*(Investment!D209-Investment!C209)/365+Inputs!D76*C269/Shares!C36</f>
        <v>0</v>
      </c>
      <c r="E255" s="30">
        <f>SUM(B255:D255)</f>
        <v>0</v>
      </c>
    </row>
    <row r="256" spans="1:5" ht="12.75" customHeight="1" x14ac:dyDescent="0.2">
      <c r="A256" s="28" t="str">
        <f>"   "&amp;Labels!B112</f>
        <v xml:space="preserve">   Series A</v>
      </c>
      <c r="B256" s="70">
        <f>Boneyard!B29*0*(Investment!B209-Investment!B209)/365+Inputs!B76*0</f>
        <v>0</v>
      </c>
      <c r="C256" s="70">
        <f>Boneyard!B29*Investment!B284*(Investment!C209-Investment!B209)/365+Inputs!C76*B270/Shares!B36</f>
        <v>0</v>
      </c>
      <c r="D256" s="70">
        <f>Boneyard!B29*Investment!C284*(Investment!D209-Investment!C209)/365+Inputs!D76*C270/Shares!C36</f>
        <v>0</v>
      </c>
      <c r="E256" s="30">
        <f>SUM(B256:D256)</f>
        <v>0</v>
      </c>
    </row>
    <row r="257" spans="1:5" ht="12.75" customHeight="1" x14ac:dyDescent="0.2">
      <c r="A257" s="73" t="str">
        <f>"   "&amp;Labels!C110</f>
        <v xml:space="preserve">   Subtotal</v>
      </c>
      <c r="B257" s="74">
        <f>SUM(B255:B256)</f>
        <v>0</v>
      </c>
      <c r="C257" s="74">
        <f>SUM(C255:C256)</f>
        <v>0</v>
      </c>
      <c r="D257" s="74">
        <f>SUM(D255:D256)</f>
        <v>0</v>
      </c>
      <c r="E257" s="30">
        <f>SUM(B257:D257)</f>
        <v>0</v>
      </c>
    </row>
    <row r="258" spans="1:5" ht="12.75" customHeight="1" x14ac:dyDescent="0.2">
      <c r="A258" s="4" t="str">
        <f>Labels!C102</f>
        <v>Total</v>
      </c>
      <c r="B258" s="77">
        <f>SUM(B248,B251:B253,B257)</f>
        <v>0</v>
      </c>
      <c r="C258" s="77">
        <f>SUM(C248,C251:C253,C257)</f>
        <v>0</v>
      </c>
      <c r="D258" s="77">
        <f>SUM(D248,D251:D253,D257)</f>
        <v>0</v>
      </c>
      <c r="E258" s="47">
        <f>SUM(B258:D258)</f>
        <v>0</v>
      </c>
    </row>
    <row r="259" spans="1:5" ht="12.75" customHeight="1" x14ac:dyDescent="0.2">
      <c r="A259" s="1" t="str">
        <f>Labels!B76</f>
        <v>Common Shares by Origin</v>
      </c>
    </row>
    <row r="260" spans="1:5" ht="12.75" customHeight="1" x14ac:dyDescent="0.2">
      <c r="B260" s="6" t="str">
        <f>Labels!B98</f>
        <v>Seed</v>
      </c>
      <c r="C260" s="7" t="str">
        <f>Labels!B99</f>
        <v>Round A</v>
      </c>
      <c r="D260" s="8" t="str">
        <f>Labels!B100</f>
        <v>Exit</v>
      </c>
    </row>
    <row r="261" spans="1:5" ht="12.75" customHeight="1" x14ac:dyDescent="0.2">
      <c r="A261" s="11" t="str">
        <f>Labels!B103</f>
        <v>Conv Note</v>
      </c>
      <c r="B261" s="60"/>
      <c r="C261" s="60"/>
      <c r="D261" s="96"/>
    </row>
    <row r="262" spans="1:5" ht="12.75" customHeight="1" x14ac:dyDescent="0.2">
      <c r="A262" s="28" t="str">
        <f>"   "&amp;Labels!B104</f>
        <v xml:space="preserve">   Series B</v>
      </c>
      <c r="B262" s="97">
        <f>Shares!B14</f>
        <v>0</v>
      </c>
      <c r="C262" s="97">
        <f>Shares!C14</f>
        <v>0</v>
      </c>
      <c r="D262" s="98">
        <f>Shares!D14</f>
        <v>0</v>
      </c>
    </row>
    <row r="263" spans="1:5" ht="12.75" customHeight="1" x14ac:dyDescent="0.2">
      <c r="A263" s="28" t="str">
        <f>"   "&amp;Labels!B105</f>
        <v xml:space="preserve">   Series A</v>
      </c>
      <c r="B263" s="97">
        <f>Shares!B15</f>
        <v>0</v>
      </c>
      <c r="C263" s="97">
        <f>Shares!C15</f>
        <v>0</v>
      </c>
      <c r="D263" s="98">
        <f>Shares!D15</f>
        <v>0</v>
      </c>
    </row>
    <row r="264" spans="1:5" ht="12.75" customHeight="1" x14ac:dyDescent="0.2">
      <c r="A264" s="73" t="str">
        <f>Labels!B106</f>
        <v>Preferred</v>
      </c>
      <c r="B264" s="138"/>
      <c r="C264" s="138"/>
      <c r="D264" s="206"/>
    </row>
    <row r="265" spans="1:5" ht="12.75" customHeight="1" x14ac:dyDescent="0.2">
      <c r="A265" s="28" t="str">
        <f>"   "&amp;Labels!B107</f>
        <v xml:space="preserve">   Series A</v>
      </c>
      <c r="B265" s="97">
        <f>Shares!B17</f>
        <v>0</v>
      </c>
      <c r="C265" s="97">
        <f>Shares!C17</f>
        <v>0</v>
      </c>
      <c r="D265" s="98">
        <f>Shares!D17</f>
        <v>0</v>
      </c>
    </row>
    <row r="266" spans="1:5" ht="12.75" customHeight="1" x14ac:dyDescent="0.2">
      <c r="A266" s="73" t="str">
        <f>Labels!B108</f>
        <v>Common</v>
      </c>
      <c r="B266" s="138">
        <f>Shares!B18</f>
        <v>1</v>
      </c>
      <c r="C266" s="138">
        <f>Shares!C18</f>
        <v>1</v>
      </c>
      <c r="D266" s="206">
        <f>Shares!D18</f>
        <v>1</v>
      </c>
    </row>
    <row r="267" spans="1:5" ht="12.75" customHeight="1" x14ac:dyDescent="0.2">
      <c r="A267" s="73" t="str">
        <f>Labels!B109</f>
        <v>Warrant</v>
      </c>
      <c r="B267" s="138">
        <f>Shares!B19</f>
        <v>0</v>
      </c>
      <c r="C267" s="138">
        <f>Shares!C19</f>
        <v>0</v>
      </c>
      <c r="D267" s="206">
        <f>Shares!D19</f>
        <v>0</v>
      </c>
    </row>
    <row r="268" spans="1:5" ht="12.75" customHeight="1" x14ac:dyDescent="0.2">
      <c r="A268" s="73" t="str">
        <f>Labels!B110</f>
        <v>Option</v>
      </c>
      <c r="B268" s="138"/>
      <c r="C268" s="138"/>
      <c r="D268" s="206"/>
    </row>
    <row r="269" spans="1:5" ht="12.75" customHeight="1" x14ac:dyDescent="0.2">
      <c r="A269" s="28" t="str">
        <f>"   "&amp;Labels!B111</f>
        <v xml:space="preserve">   Series B</v>
      </c>
      <c r="B269" s="97">
        <f>Shares!B21</f>
        <v>0</v>
      </c>
      <c r="C269" s="97">
        <f>Shares!C21</f>
        <v>0</v>
      </c>
      <c r="D269" s="98">
        <f>Shares!D21</f>
        <v>0</v>
      </c>
    </row>
    <row r="270" spans="1:5" ht="12.75" customHeight="1" x14ac:dyDescent="0.2">
      <c r="A270" s="35" t="str">
        <f>"   "&amp;Labels!B112</f>
        <v xml:space="preserve">   Series A</v>
      </c>
      <c r="B270" s="105">
        <f>Shares!B22</f>
        <v>0</v>
      </c>
      <c r="C270" s="105">
        <f>Shares!C22</f>
        <v>0</v>
      </c>
      <c r="D270" s="207">
        <f>Shares!D22</f>
        <v>0</v>
      </c>
    </row>
    <row r="271" spans="1:5" ht="12.75" customHeight="1" x14ac:dyDescent="0.2">
      <c r="A271" s="1" t="str">
        <f>Labels!B55</f>
        <v>Payout by Origin</v>
      </c>
    </row>
    <row r="272" spans="1:5" ht="12.75" customHeight="1" x14ac:dyDescent="0.2">
      <c r="B272" s="6" t="str">
        <f>Labels!B98</f>
        <v>Seed</v>
      </c>
      <c r="C272" s="7" t="str">
        <f>Labels!B99</f>
        <v>Round A</v>
      </c>
      <c r="D272" s="7" t="str">
        <f>Labels!B100</f>
        <v>Exit</v>
      </c>
      <c r="E272" s="25" t="str">
        <f>Labels!C97</f>
        <v>Total</v>
      </c>
    </row>
    <row r="273" spans="1:5" ht="12.75" customHeight="1" x14ac:dyDescent="0.2">
      <c r="A273" s="11" t="str">
        <f>Labels!B103</f>
        <v>Conv Note</v>
      </c>
      <c r="B273" s="26"/>
      <c r="C273" s="26"/>
      <c r="D273" s="26"/>
      <c r="E273" s="27"/>
    </row>
    <row r="274" spans="1:5" ht="12.75" customHeight="1" x14ac:dyDescent="0.2">
      <c r="A274" s="28" t="str">
        <f>"   "&amp;Labels!B104</f>
        <v xml:space="preserve">   Series B</v>
      </c>
      <c r="B274" s="70">
        <f>Payout!B43+IF(Shares!B36=0,0,B262/Shares!B36*Payout!B49)</f>
        <v>0</v>
      </c>
      <c r="C274" s="70">
        <f>Payout!C43+IF(Shares!C36=0,0,C262/Shares!C36*Payout!C49)</f>
        <v>0</v>
      </c>
      <c r="D274" s="70">
        <f>Payout!D43+IF(Shares!D36=0,0,D262/Shares!D36*Payout!D49)</f>
        <v>0</v>
      </c>
      <c r="E274" s="30" t="str">
        <f>""</f>
        <v/>
      </c>
    </row>
    <row r="275" spans="1:5" ht="12.75" customHeight="1" x14ac:dyDescent="0.2">
      <c r="A275" s="28" t="str">
        <f>"   "&amp;Labels!B105</f>
        <v xml:space="preserve">   Series A</v>
      </c>
      <c r="B275" s="70">
        <f>Payout!B44+IF(Shares!B36=0,0,B263/Shares!B36*Payout!B49)</f>
        <v>0</v>
      </c>
      <c r="C275" s="70">
        <f>Payout!C44+IF(Shares!C36=0,0,C263/Shares!C36*Payout!C49)</f>
        <v>0</v>
      </c>
      <c r="D275" s="70">
        <f>Payout!D44+IF(Shares!D36=0,0,D263/Shares!D36*Payout!D49)</f>
        <v>0</v>
      </c>
      <c r="E275" s="30" t="str">
        <f>""</f>
        <v/>
      </c>
    </row>
    <row r="276" spans="1:5" ht="12.75" customHeight="1" x14ac:dyDescent="0.2">
      <c r="A276" s="73" t="str">
        <f>"   "&amp;Labels!C103</f>
        <v xml:space="preserve">   Subtotal</v>
      </c>
      <c r="B276" s="74">
        <f>SUM(B274:B275)</f>
        <v>0</v>
      </c>
      <c r="C276" s="74">
        <f>SUM(C274:C275)</f>
        <v>0</v>
      </c>
      <c r="D276" s="74">
        <f>SUM(D274:D275)</f>
        <v>0</v>
      </c>
      <c r="E276" s="30" t="str">
        <f>""</f>
        <v/>
      </c>
    </row>
    <row r="277" spans="1:5" ht="12.75" customHeight="1" x14ac:dyDescent="0.2">
      <c r="A277" s="73" t="str">
        <f>Labels!B106</f>
        <v>Preferred</v>
      </c>
      <c r="B277" s="74"/>
      <c r="C277" s="74"/>
      <c r="D277" s="74"/>
      <c r="E277" s="30"/>
    </row>
    <row r="278" spans="1:5" ht="12.75" customHeight="1" x14ac:dyDescent="0.2">
      <c r="A278" s="28" t="str">
        <f>"   "&amp;Labels!B107</f>
        <v xml:space="preserve">   Series A</v>
      </c>
      <c r="B278" s="70">
        <f>Payout!B47+IF(Shares!B36=0,0,B265/Shares!B36*Payout!B49)</f>
        <v>0</v>
      </c>
      <c r="C278" s="70">
        <f>Payout!C47+IF(Shares!C36=0,0,C265/Shares!C36*Payout!C49)</f>
        <v>0</v>
      </c>
      <c r="D278" s="70">
        <f>Payout!D47+IF(Shares!D36=0,0,D265/Shares!D36*Payout!D49)</f>
        <v>0</v>
      </c>
      <c r="E278" s="30" t="str">
        <f>""</f>
        <v/>
      </c>
    </row>
    <row r="279" spans="1:5" ht="12.75" customHeight="1" x14ac:dyDescent="0.2">
      <c r="A279" s="73" t="str">
        <f>"   "&amp;Labels!C106</f>
        <v xml:space="preserve">   Subtotal</v>
      </c>
      <c r="B279" s="74">
        <f>SUM(B278)</f>
        <v>0</v>
      </c>
      <c r="C279" s="74">
        <f>SUM(C278)</f>
        <v>0</v>
      </c>
      <c r="D279" s="74">
        <f>SUM(D278)</f>
        <v>0</v>
      </c>
      <c r="E279" s="30" t="str">
        <f>""</f>
        <v/>
      </c>
    </row>
    <row r="280" spans="1:5" ht="12.75" customHeight="1" x14ac:dyDescent="0.2">
      <c r="A280" s="73" t="str">
        <f>Labels!B108</f>
        <v>Common</v>
      </c>
      <c r="B280" s="74">
        <f>IF(Shares!B36=0,0,B266/Shares!B36*Payout!B49)</f>
        <v>1000001</v>
      </c>
      <c r="C280" s="74">
        <f>IF(Shares!C36=0,0,C266/Shares!C36*Payout!C49)</f>
        <v>1000000</v>
      </c>
      <c r="D280" s="74">
        <f>IF(Shares!D36=0,0,D266/Shares!D36*Payout!D49)</f>
        <v>1000000</v>
      </c>
      <c r="E280" s="30" t="str">
        <f>""</f>
        <v/>
      </c>
    </row>
    <row r="281" spans="1:5" ht="12.75" customHeight="1" x14ac:dyDescent="0.2">
      <c r="A281" s="73" t="str">
        <f>Labels!B109</f>
        <v>Warrant</v>
      </c>
      <c r="B281" s="74">
        <f>Payout!B50+IF(Shares!B36=0,0,B267/Shares!B36*Payout!B49)</f>
        <v>0</v>
      </c>
      <c r="C281" s="74">
        <f>Payout!C50+IF(Shares!C36=0,0,C267/Shares!C36*Payout!C49)</f>
        <v>0</v>
      </c>
      <c r="D281" s="74">
        <f>Payout!D50+IF(Shares!D36=0,0,D267/Shares!D36*Payout!D49)</f>
        <v>0</v>
      </c>
      <c r="E281" s="30" t="str">
        <f>""</f>
        <v/>
      </c>
    </row>
    <row r="282" spans="1:5" ht="12.75" customHeight="1" x14ac:dyDescent="0.2">
      <c r="A282" s="73" t="str">
        <f>Labels!B110</f>
        <v>Option</v>
      </c>
      <c r="B282" s="74"/>
      <c r="C282" s="74"/>
      <c r="D282" s="74"/>
      <c r="E282" s="30"/>
    </row>
    <row r="283" spans="1:5" ht="12.75" customHeight="1" x14ac:dyDescent="0.2">
      <c r="A283" s="28" t="str">
        <f>"   "&amp;Labels!B111</f>
        <v xml:space="preserve">   Series B</v>
      </c>
      <c r="B283" s="70">
        <f>Payout!B52+IF(Shares!B36=0,0,B269/Shares!B36*Payout!B49)</f>
        <v>0</v>
      </c>
      <c r="C283" s="70">
        <f>Payout!C52+IF(Shares!C36=0,0,C269/Shares!C36*Payout!C49)</f>
        <v>0</v>
      </c>
      <c r="D283" s="70">
        <f>Payout!D52+IF(Shares!D36=0,0,D269/Shares!D36*Payout!D49)</f>
        <v>0</v>
      </c>
      <c r="E283" s="30" t="str">
        <f>""</f>
        <v/>
      </c>
    </row>
    <row r="284" spans="1:5" ht="12.75" customHeight="1" x14ac:dyDescent="0.2">
      <c r="A284" s="28" t="str">
        <f>"   "&amp;Labels!B112</f>
        <v xml:space="preserve">   Series A</v>
      </c>
      <c r="B284" s="70">
        <f>Payout!B53+IF(Shares!B36=0,0,B270/Shares!B36*Payout!B49)</f>
        <v>0</v>
      </c>
      <c r="C284" s="70">
        <f>Payout!C53+IF(Shares!C36=0,0,C270/Shares!C36*Payout!C49)</f>
        <v>0</v>
      </c>
      <c r="D284" s="70">
        <f>Payout!D53+IF(Shares!D36=0,0,D270/Shares!D36*Payout!D49)</f>
        <v>0</v>
      </c>
      <c r="E284" s="30" t="str">
        <f>""</f>
        <v/>
      </c>
    </row>
    <row r="285" spans="1:5" ht="12.75" customHeight="1" x14ac:dyDescent="0.2">
      <c r="A285" s="73" t="str">
        <f>"   "&amp;Labels!C110</f>
        <v xml:space="preserve">   Subtotal</v>
      </c>
      <c r="B285" s="74">
        <f>SUM(B283:B284)</f>
        <v>0</v>
      </c>
      <c r="C285" s="74">
        <f>SUM(C283:C284)</f>
        <v>0</v>
      </c>
      <c r="D285" s="74">
        <f>SUM(D283:D284)</f>
        <v>0</v>
      </c>
      <c r="E285" s="30" t="str">
        <f>""</f>
        <v/>
      </c>
    </row>
    <row r="286" spans="1:5" ht="12.75" customHeight="1" x14ac:dyDescent="0.2">
      <c r="A286" s="4" t="str">
        <f>Labels!C102</f>
        <v>Total</v>
      </c>
      <c r="B286" s="77">
        <f>SUM(B276,B279:B281,B285)</f>
        <v>1000001</v>
      </c>
      <c r="C286" s="77">
        <f>SUM(C276,C279:C281,C285)</f>
        <v>1000000</v>
      </c>
      <c r="D286" s="77">
        <f>SUM(D276,D279:D281,D285)</f>
        <v>1000000</v>
      </c>
      <c r="E286" s="47" t="str">
        <f>""</f>
        <v/>
      </c>
    </row>
    <row r="287" spans="1:5" ht="12.75" customHeight="1" x14ac:dyDescent="0.2">
      <c r="A287" s="1" t="str">
        <f>Labels!B54</f>
        <v>Units 'in the Money'</v>
      </c>
    </row>
    <row r="288" spans="1:5" ht="12.75" customHeight="1" x14ac:dyDescent="0.2">
      <c r="B288" s="6" t="str">
        <f>Labels!B98</f>
        <v>Seed</v>
      </c>
      <c r="C288" s="7" t="str">
        <f>Labels!B99</f>
        <v>Round A</v>
      </c>
      <c r="D288" s="7" t="str">
        <f>Labels!B100</f>
        <v>Exit</v>
      </c>
      <c r="E288" s="25" t="str">
        <f>Labels!C97</f>
        <v>Total</v>
      </c>
    </row>
    <row r="289" spans="1:5" ht="12.75" customHeight="1" x14ac:dyDescent="0.2">
      <c r="A289" s="11" t="str">
        <f>Labels!B103</f>
        <v>Conv Note</v>
      </c>
      <c r="B289" s="60"/>
      <c r="C289" s="60"/>
      <c r="D289" s="60"/>
      <c r="E289" s="61"/>
    </row>
    <row r="290" spans="1:5" ht="12.75" customHeight="1" x14ac:dyDescent="0.2">
      <c r="A290" s="28" t="str">
        <f>"   "&amp;Labels!B104</f>
        <v xml:space="preserve">   Series B</v>
      </c>
      <c r="B290" s="97">
        <f t="shared" ref="B290:D291" si="2">0/3/10</f>
        <v>0</v>
      </c>
      <c r="C290" s="97">
        <f t="shared" si="2"/>
        <v>0</v>
      </c>
      <c r="D290" s="97">
        <f t="shared" si="2"/>
        <v>0</v>
      </c>
      <c r="E290" s="63">
        <f>SUM(B290:D290)</f>
        <v>0</v>
      </c>
    </row>
    <row r="291" spans="1:5" ht="12.75" customHeight="1" x14ac:dyDescent="0.2">
      <c r="A291" s="28" t="str">
        <f>"   "&amp;Labels!B105</f>
        <v xml:space="preserve">   Series A</v>
      </c>
      <c r="B291" s="97">
        <f t="shared" si="2"/>
        <v>0</v>
      </c>
      <c r="C291" s="97">
        <f t="shared" si="2"/>
        <v>0</v>
      </c>
      <c r="D291" s="97">
        <f t="shared" si="2"/>
        <v>0</v>
      </c>
      <c r="E291" s="63">
        <f>SUM(B291:D291)</f>
        <v>0</v>
      </c>
    </row>
    <row r="292" spans="1:5" ht="12.75" customHeight="1" x14ac:dyDescent="0.2">
      <c r="A292" s="73" t="str">
        <f>"   "&amp;Labels!C103</f>
        <v xml:space="preserve">   Subtotal</v>
      </c>
      <c r="B292" s="138">
        <f>SUM(B290:B291)</f>
        <v>0</v>
      </c>
      <c r="C292" s="138">
        <f>SUM(C290:C291)</f>
        <v>0</v>
      </c>
      <c r="D292" s="138">
        <f>SUM(D290:D291)</f>
        <v>0</v>
      </c>
      <c r="E292" s="63">
        <f>SUM(B292:D292)</f>
        <v>0</v>
      </c>
    </row>
    <row r="293" spans="1:5" ht="12.75" customHeight="1" x14ac:dyDescent="0.2">
      <c r="A293" s="73" t="str">
        <f>Labels!B106</f>
        <v>Preferred</v>
      </c>
      <c r="B293" s="138"/>
      <c r="C293" s="138"/>
      <c r="D293" s="138"/>
      <c r="E293" s="63"/>
    </row>
    <row r="294" spans="1:5" ht="12.75" customHeight="1" x14ac:dyDescent="0.2">
      <c r="A294" s="28" t="str">
        <f>"   "&amp;Labels!B107</f>
        <v xml:space="preserve">   Series A</v>
      </c>
      <c r="B294" s="97">
        <f>0/3/5</f>
        <v>0</v>
      </c>
      <c r="C294" s="97">
        <f>0/3/5</f>
        <v>0</v>
      </c>
      <c r="D294" s="97">
        <f>0/3/5</f>
        <v>0</v>
      </c>
      <c r="E294" s="63">
        <f>SUM(B294:D294)</f>
        <v>0</v>
      </c>
    </row>
    <row r="295" spans="1:5" ht="12.75" customHeight="1" x14ac:dyDescent="0.2">
      <c r="A295" s="73" t="str">
        <f>"   "&amp;Labels!C106</f>
        <v xml:space="preserve">   Subtotal</v>
      </c>
      <c r="B295" s="138">
        <f>B294</f>
        <v>0</v>
      </c>
      <c r="C295" s="138">
        <f>C294</f>
        <v>0</v>
      </c>
      <c r="D295" s="138">
        <f>D294</f>
        <v>0</v>
      </c>
      <c r="E295" s="63">
        <f>SUM(B295:D295)</f>
        <v>0</v>
      </c>
    </row>
    <row r="296" spans="1:5" ht="12.75" customHeight="1" x14ac:dyDescent="0.2">
      <c r="A296" s="73" t="str">
        <f>Labels!B108</f>
        <v>Common</v>
      </c>
      <c r="B296" s="138">
        <f>0/3/5</f>
        <v>0</v>
      </c>
      <c r="C296" s="138">
        <f>0/3/5</f>
        <v>0</v>
      </c>
      <c r="D296" s="138">
        <f>0/3/5</f>
        <v>0</v>
      </c>
      <c r="E296" s="63">
        <f>SUM(B296:D296)</f>
        <v>0</v>
      </c>
    </row>
    <row r="297" spans="1:5" ht="12.75" customHeight="1" x14ac:dyDescent="0.2">
      <c r="A297" s="73" t="str">
        <f>Labels!B109</f>
        <v>Warrant</v>
      </c>
      <c r="B297" s="138">
        <f>Options!B19</f>
        <v>0</v>
      </c>
      <c r="C297" s="138">
        <f>Options!C19</f>
        <v>0</v>
      </c>
      <c r="D297" s="138">
        <f>Options!D19</f>
        <v>0</v>
      </c>
      <c r="E297" s="63">
        <f>SUM(B297:D297)</f>
        <v>0</v>
      </c>
    </row>
    <row r="298" spans="1:5" ht="12.75" customHeight="1" x14ac:dyDescent="0.2">
      <c r="A298" s="73" t="str">
        <f>Labels!B110</f>
        <v>Option</v>
      </c>
      <c r="B298" s="138"/>
      <c r="C298" s="138"/>
      <c r="D298" s="138"/>
      <c r="E298" s="63"/>
    </row>
    <row r="299" spans="1:5" ht="12.75" customHeight="1" x14ac:dyDescent="0.2">
      <c r="A299" s="28" t="str">
        <f>"   "&amp;Labels!B111</f>
        <v xml:space="preserve">   Series B</v>
      </c>
      <c r="B299" s="97">
        <f>Options!B48</f>
        <v>0</v>
      </c>
      <c r="C299" s="97">
        <f>Options!C48</f>
        <v>0</v>
      </c>
      <c r="D299" s="97">
        <f>Options!D48</f>
        <v>0</v>
      </c>
      <c r="E299" s="63">
        <f>SUM(B299:D299)</f>
        <v>0</v>
      </c>
    </row>
    <row r="300" spans="1:5" ht="12.75" customHeight="1" x14ac:dyDescent="0.2">
      <c r="A300" s="28" t="str">
        <f>"   "&amp;Labels!B112</f>
        <v xml:space="preserve">   Series A</v>
      </c>
      <c r="B300" s="97">
        <f>Options!B49</f>
        <v>0</v>
      </c>
      <c r="C300" s="97">
        <f>Options!C49</f>
        <v>0</v>
      </c>
      <c r="D300" s="97">
        <f>Options!D49</f>
        <v>0</v>
      </c>
      <c r="E300" s="63">
        <f>SUM(B300:D300)</f>
        <v>0</v>
      </c>
    </row>
    <row r="301" spans="1:5" ht="12.75" customHeight="1" x14ac:dyDescent="0.2">
      <c r="A301" s="73" t="str">
        <f>"   "&amp;Labels!C110</f>
        <v xml:space="preserve">   Subtotal</v>
      </c>
      <c r="B301" s="138">
        <f>SUM(B299:B300)</f>
        <v>0</v>
      </c>
      <c r="C301" s="138">
        <f>SUM(C299:C300)</f>
        <v>0</v>
      </c>
      <c r="D301" s="138">
        <f>SUM(D299:D300)</f>
        <v>0</v>
      </c>
      <c r="E301" s="63">
        <f>SUM(E299:E300)</f>
        <v>0</v>
      </c>
    </row>
    <row r="302" spans="1:5" ht="12.75" customHeight="1" x14ac:dyDescent="0.2">
      <c r="A302" s="4" t="str">
        <f>Labels!C102</f>
        <v>Total</v>
      </c>
      <c r="B302" s="200">
        <f>SUM(B292,B295:B297,B301)</f>
        <v>0</v>
      </c>
      <c r="C302" s="200">
        <f>SUM(C292,C295:C297,C301)</f>
        <v>0</v>
      </c>
      <c r="D302" s="200">
        <f>SUM(D292,D295:D297,D301)</f>
        <v>0</v>
      </c>
      <c r="E302" s="201">
        <f>SUM(B302:D302)</f>
        <v>0</v>
      </c>
    </row>
    <row r="303" spans="1:5" ht="12.75" customHeight="1" x14ac:dyDescent="0.2">
      <c r="A303" s="1" t="str">
        <f>Labels!B57</f>
        <v>Payout by Origin %</v>
      </c>
    </row>
    <row r="304" spans="1:5" ht="12.75" customHeight="1" x14ac:dyDescent="0.2">
      <c r="B304" s="6" t="str">
        <f>Labels!B98</f>
        <v>Seed</v>
      </c>
      <c r="C304" s="7" t="str">
        <f>Labels!B99</f>
        <v>Round A</v>
      </c>
      <c r="D304" s="7" t="str">
        <f>Labels!B100</f>
        <v>Exit</v>
      </c>
      <c r="E304" s="25" t="str">
        <f>Labels!C97</f>
        <v>Total</v>
      </c>
    </row>
    <row r="305" spans="1:5" ht="12.75" customHeight="1" x14ac:dyDescent="0.2">
      <c r="A305" s="11" t="str">
        <f>Labels!B103</f>
        <v>Conv Note</v>
      </c>
      <c r="B305" s="68"/>
      <c r="C305" s="68"/>
      <c r="D305" s="68"/>
      <c r="E305" s="208"/>
    </row>
    <row r="306" spans="1:5" ht="12.75" customHeight="1" x14ac:dyDescent="0.2">
      <c r="A306" s="28" t="str">
        <f>"   "&amp;Labels!B104</f>
        <v xml:space="preserve">   Series B</v>
      </c>
      <c r="B306" s="71">
        <f>B274/B286</f>
        <v>0</v>
      </c>
      <c r="C306" s="71">
        <f>C274/C286</f>
        <v>0</v>
      </c>
      <c r="D306" s="71">
        <f>D274/D286</f>
        <v>0</v>
      </c>
      <c r="E306" s="145" t="str">
        <f>" "</f>
        <v xml:space="preserve"> </v>
      </c>
    </row>
    <row r="307" spans="1:5" ht="12.75" customHeight="1" x14ac:dyDescent="0.2">
      <c r="A307" s="28" t="str">
        <f>"   "&amp;Labels!B105</f>
        <v xml:space="preserve">   Series A</v>
      </c>
      <c r="B307" s="71">
        <f>B275/B286</f>
        <v>0</v>
      </c>
      <c r="C307" s="71">
        <f>C275/C286</f>
        <v>0</v>
      </c>
      <c r="D307" s="71">
        <f>D275/D286</f>
        <v>0</v>
      </c>
      <c r="E307" s="145" t="str">
        <f>" "</f>
        <v xml:space="preserve"> </v>
      </c>
    </row>
    <row r="308" spans="1:5" ht="12.75" customHeight="1" x14ac:dyDescent="0.2">
      <c r="A308" s="73" t="str">
        <f>"   "&amp;Labels!C103</f>
        <v xml:space="preserve">   Subtotal</v>
      </c>
      <c r="B308" s="75">
        <f>B276/B286</f>
        <v>0</v>
      </c>
      <c r="C308" s="75">
        <f>C276/C286</f>
        <v>0</v>
      </c>
      <c r="D308" s="75">
        <f>D276/D286</f>
        <v>0</v>
      </c>
      <c r="E308" s="145" t="str">
        <f>" "</f>
        <v xml:space="preserve"> </v>
      </c>
    </row>
    <row r="309" spans="1:5" ht="12.75" customHeight="1" x14ac:dyDescent="0.2">
      <c r="A309" s="73" t="str">
        <f>Labels!B106</f>
        <v>Preferred</v>
      </c>
      <c r="B309" s="75"/>
      <c r="C309" s="75"/>
      <c r="D309" s="75"/>
      <c r="E309" s="145"/>
    </row>
    <row r="310" spans="1:5" ht="12.75" customHeight="1" x14ac:dyDescent="0.2">
      <c r="A310" s="28" t="str">
        <f>"   "&amp;Labels!B107</f>
        <v xml:space="preserve">   Series A</v>
      </c>
      <c r="B310" s="71">
        <f>B278/B286</f>
        <v>0</v>
      </c>
      <c r="C310" s="71">
        <f>C278/C286</f>
        <v>0</v>
      </c>
      <c r="D310" s="71">
        <f>D278/D286</f>
        <v>0</v>
      </c>
      <c r="E310" s="145" t="str">
        <f>" "</f>
        <v xml:space="preserve"> </v>
      </c>
    </row>
    <row r="311" spans="1:5" ht="12.75" customHeight="1" x14ac:dyDescent="0.2">
      <c r="A311" s="73" t="str">
        <f>"   "&amp;Labels!C106</f>
        <v xml:space="preserve">   Subtotal</v>
      </c>
      <c r="B311" s="75">
        <f>B279/B286</f>
        <v>0</v>
      </c>
      <c r="C311" s="75">
        <f>C279/C286</f>
        <v>0</v>
      </c>
      <c r="D311" s="75">
        <f>D279/D286</f>
        <v>0</v>
      </c>
      <c r="E311" s="145" t="str">
        <f>" "</f>
        <v xml:space="preserve"> </v>
      </c>
    </row>
    <row r="312" spans="1:5" ht="12.75" customHeight="1" x14ac:dyDescent="0.2">
      <c r="A312" s="73" t="str">
        <f>Labels!B108</f>
        <v>Common</v>
      </c>
      <c r="B312" s="75">
        <f>B280/B286</f>
        <v>1</v>
      </c>
      <c r="C312" s="75">
        <f>C280/C286</f>
        <v>1</v>
      </c>
      <c r="D312" s="75">
        <f>D280/D286</f>
        <v>1</v>
      </c>
      <c r="E312" s="145" t="str">
        <f>" "</f>
        <v xml:space="preserve"> </v>
      </c>
    </row>
    <row r="313" spans="1:5" ht="12.75" customHeight="1" x14ac:dyDescent="0.2">
      <c r="A313" s="73" t="str">
        <f>Labels!B109</f>
        <v>Warrant</v>
      </c>
      <c r="B313" s="75">
        <f>B281/B286</f>
        <v>0</v>
      </c>
      <c r="C313" s="75">
        <f>C281/C286</f>
        <v>0</v>
      </c>
      <c r="D313" s="75">
        <f>D281/D286</f>
        <v>0</v>
      </c>
      <c r="E313" s="145" t="str">
        <f>" "</f>
        <v xml:space="preserve"> </v>
      </c>
    </row>
    <row r="314" spans="1:5" ht="12.75" customHeight="1" x14ac:dyDescent="0.2">
      <c r="A314" s="73" t="str">
        <f>Labels!B110</f>
        <v>Option</v>
      </c>
      <c r="B314" s="75"/>
      <c r="C314" s="75"/>
      <c r="D314" s="75"/>
      <c r="E314" s="145"/>
    </row>
    <row r="315" spans="1:5" ht="12.75" customHeight="1" x14ac:dyDescent="0.2">
      <c r="A315" s="28" t="str">
        <f>"   "&amp;Labels!B111</f>
        <v xml:space="preserve">   Series B</v>
      </c>
      <c r="B315" s="71">
        <f>B283/B286</f>
        <v>0</v>
      </c>
      <c r="C315" s="71">
        <f>C283/C286</f>
        <v>0</v>
      </c>
      <c r="D315" s="71">
        <f>D283/D286</f>
        <v>0</v>
      </c>
      <c r="E315" s="145" t="str">
        <f>" "</f>
        <v xml:space="preserve"> </v>
      </c>
    </row>
    <row r="316" spans="1:5" ht="12.75" customHeight="1" x14ac:dyDescent="0.2">
      <c r="A316" s="28" t="str">
        <f>"   "&amp;Labels!B112</f>
        <v xml:space="preserve">   Series A</v>
      </c>
      <c r="B316" s="71">
        <f>B284/B286</f>
        <v>0</v>
      </c>
      <c r="C316" s="71">
        <f>C284/C286</f>
        <v>0</v>
      </c>
      <c r="D316" s="71">
        <f>D284/D286</f>
        <v>0</v>
      </c>
      <c r="E316" s="145" t="str">
        <f>" "</f>
        <v xml:space="preserve"> </v>
      </c>
    </row>
    <row r="317" spans="1:5" ht="12.75" customHeight="1" x14ac:dyDescent="0.2">
      <c r="A317" s="73" t="str">
        <f>"   "&amp;Labels!C110</f>
        <v xml:space="preserve">   Subtotal</v>
      </c>
      <c r="B317" s="75">
        <f>B285/B286</f>
        <v>0</v>
      </c>
      <c r="C317" s="75">
        <f>C285/C286</f>
        <v>0</v>
      </c>
      <c r="D317" s="75">
        <f>D285/D286</f>
        <v>0</v>
      </c>
      <c r="E317" s="145" t="str">
        <f>" "</f>
        <v xml:space="preserve"> </v>
      </c>
    </row>
    <row r="318" spans="1:5" ht="12.75" customHeight="1" x14ac:dyDescent="0.2">
      <c r="A318" s="4" t="str">
        <f>Labels!C102</f>
        <v>Total</v>
      </c>
      <c r="B318" s="78">
        <f>B286/B286</f>
        <v>1</v>
      </c>
      <c r="C318" s="78">
        <f>C286/C286</f>
        <v>1</v>
      </c>
      <c r="D318" s="78">
        <f>D286/D286</f>
        <v>1</v>
      </c>
      <c r="E318" s="209" t="str">
        <f>" "</f>
        <v xml:space="preserve"> </v>
      </c>
    </row>
    <row r="319" spans="1:5" ht="12.75" customHeight="1" x14ac:dyDescent="0.2">
      <c r="A319" s="1" t="str">
        <f>Labels!B44</f>
        <v>Cash Flow</v>
      </c>
    </row>
    <row r="320" spans="1:5" ht="12.75" customHeight="1" x14ac:dyDescent="0.2">
      <c r="B320" s="6" t="str">
        <f>Labels!B98</f>
        <v>Seed</v>
      </c>
      <c r="C320" s="7" t="str">
        <f>Labels!B99</f>
        <v>Round A</v>
      </c>
      <c r="D320" s="7" t="str">
        <f>Labels!B100</f>
        <v>Exit</v>
      </c>
      <c r="E320" s="25" t="str">
        <f>Labels!C97</f>
        <v>Total</v>
      </c>
    </row>
    <row r="321" spans="1:5" ht="12.75" customHeight="1" x14ac:dyDescent="0.2">
      <c r="A321" s="11" t="str">
        <f>Labels!B103</f>
        <v>Conv Note</v>
      </c>
      <c r="B321" s="26"/>
      <c r="C321" s="26"/>
      <c r="D321" s="26"/>
      <c r="E321" s="27"/>
    </row>
    <row r="322" spans="1:5" ht="12.75" customHeight="1" x14ac:dyDescent="0.2">
      <c r="A322" s="28" t="str">
        <f>"   "&amp;Labels!B104</f>
        <v xml:space="preserve">   Series B</v>
      </c>
      <c r="B322" s="70">
        <f>Investment!B68+Investment!B98+0*0-IF(ISERROR(C274),B274,0)</f>
        <v>0</v>
      </c>
      <c r="C322" s="70">
        <f>Investment!C68+Investment!C98+0-IF(ISERROR(D274),C274,0)</f>
        <v>0</v>
      </c>
      <c r="D322" s="70">
        <f>Investment!D68+Investment!D98+0-IF(ISERROR(#REF!),D274,0)</f>
        <v>0</v>
      </c>
      <c r="E322" s="30" t="str">
        <f>""</f>
        <v/>
      </c>
    </row>
    <row r="323" spans="1:5" ht="12.75" customHeight="1" x14ac:dyDescent="0.2">
      <c r="A323" s="28" t="str">
        <f>"   "&amp;Labels!B105</f>
        <v xml:space="preserve">   Series A</v>
      </c>
      <c r="B323" s="70">
        <f>Investment!B69+Investment!B99+0*0-IF(ISERROR(C275),B275,0)</f>
        <v>0</v>
      </c>
      <c r="C323" s="70">
        <f>Investment!C69+Investment!C99+0-IF(ISERROR(D275),C275,0)</f>
        <v>0</v>
      </c>
      <c r="D323" s="70">
        <f>Investment!D69+Investment!D99+0-IF(ISERROR(#REF!),D275,0)</f>
        <v>0</v>
      </c>
      <c r="E323" s="30" t="str">
        <f>""</f>
        <v/>
      </c>
    </row>
    <row r="324" spans="1:5" ht="12.75" customHeight="1" x14ac:dyDescent="0.2">
      <c r="A324" s="73" t="str">
        <f>"   "&amp;Labels!C103</f>
        <v xml:space="preserve">   Subtotal</v>
      </c>
      <c r="B324" s="74">
        <f>SUM(B322:B323)</f>
        <v>0</v>
      </c>
      <c r="C324" s="74">
        <f>SUM(C322:C323)</f>
        <v>0</v>
      </c>
      <c r="D324" s="74">
        <f>SUM(D322:D323)</f>
        <v>0</v>
      </c>
      <c r="E324" s="30" t="str">
        <f>""</f>
        <v/>
      </c>
    </row>
    <row r="325" spans="1:5" ht="12.75" customHeight="1" x14ac:dyDescent="0.2">
      <c r="A325" s="73" t="str">
        <f>Labels!B106</f>
        <v>Preferred</v>
      </c>
      <c r="B325" s="74"/>
      <c r="C325" s="74"/>
      <c r="D325" s="74"/>
      <c r="E325" s="30"/>
    </row>
    <row r="326" spans="1:5" ht="12.75" customHeight="1" x14ac:dyDescent="0.2">
      <c r="A326" s="28" t="str">
        <f>"   "&amp;Labels!B107</f>
        <v xml:space="preserve">   Series A</v>
      </c>
      <c r="B326" s="70">
        <f>Investment!B72+Investment!B102+0*0-IF(ISERROR(C278),B278,0)</f>
        <v>0</v>
      </c>
      <c r="C326" s="70">
        <f>Investment!C72+Investment!C102+0-IF(ISERROR(D278),C278,0)</f>
        <v>0</v>
      </c>
      <c r="D326" s="70">
        <f>Investment!D72+Investment!D102+0-IF(ISERROR(#REF!),D278,0)</f>
        <v>0</v>
      </c>
      <c r="E326" s="30" t="str">
        <f>""</f>
        <v/>
      </c>
    </row>
    <row r="327" spans="1:5" ht="12.75" customHeight="1" x14ac:dyDescent="0.2">
      <c r="A327" s="73" t="str">
        <f>"   "&amp;Labels!C106</f>
        <v xml:space="preserve">   Subtotal</v>
      </c>
      <c r="B327" s="74">
        <f>SUM(B326)</f>
        <v>0</v>
      </c>
      <c r="C327" s="74">
        <f>SUM(C326)</f>
        <v>0</v>
      </c>
      <c r="D327" s="74">
        <f>SUM(D326)</f>
        <v>0</v>
      </c>
      <c r="E327" s="30" t="str">
        <f>""</f>
        <v/>
      </c>
    </row>
    <row r="328" spans="1:5" ht="12.75" customHeight="1" x14ac:dyDescent="0.2">
      <c r="A328" s="73" t="str">
        <f>Labels!B108</f>
        <v>Common</v>
      </c>
      <c r="B328" s="74">
        <f>Investment!B74+Investment!B104+0*0-IF(ISERROR(C280),B280,0)</f>
        <v>1</v>
      </c>
      <c r="C328" s="74">
        <f>Investment!C74+Investment!C104+0-IF(ISERROR(D280),C280,0)</f>
        <v>0</v>
      </c>
      <c r="D328" s="74">
        <f>Investment!D74+Investment!D104+0-IF(ISERROR(#REF!),D280,0)</f>
        <v>-1000000</v>
      </c>
      <c r="E328" s="30" t="str">
        <f>""</f>
        <v/>
      </c>
    </row>
    <row r="329" spans="1:5" ht="12.75" customHeight="1" x14ac:dyDescent="0.2">
      <c r="A329" s="73" t="str">
        <f>Labels!B109</f>
        <v>Warrant</v>
      </c>
      <c r="B329" s="74">
        <f>Investment!B75+Investment!B105+0*0-IF(ISERROR(C281),B281,0)</f>
        <v>0</v>
      </c>
      <c r="C329" s="74">
        <f>Investment!C75+Investment!C105+0-IF(ISERROR(D281),C281,0)</f>
        <v>0</v>
      </c>
      <c r="D329" s="74">
        <f>Investment!D75+Investment!D105+0-IF(ISERROR(#REF!),D281,0)</f>
        <v>0</v>
      </c>
      <c r="E329" s="30" t="str">
        <f>""</f>
        <v/>
      </c>
    </row>
    <row r="330" spans="1:5" ht="12.75" customHeight="1" x14ac:dyDescent="0.2">
      <c r="A330" s="73" t="str">
        <f>Labels!B110</f>
        <v>Option</v>
      </c>
      <c r="B330" s="74"/>
      <c r="C330" s="74"/>
      <c r="D330" s="74"/>
      <c r="E330" s="30"/>
    </row>
    <row r="331" spans="1:5" ht="12.75" customHeight="1" x14ac:dyDescent="0.2">
      <c r="A331" s="28" t="str">
        <f>"   "&amp;Labels!B111</f>
        <v xml:space="preserve">   Series B</v>
      </c>
      <c r="B331" s="70">
        <f>Investment!B77+Investment!B107+0*0-IF(ISERROR(C283),B283,0)</f>
        <v>0</v>
      </c>
      <c r="C331" s="70">
        <f>Investment!C77+Investment!C107+0-IF(ISERROR(D283),C283,0)</f>
        <v>0</v>
      </c>
      <c r="D331" s="70">
        <f>Investment!D77+Investment!D107+0-IF(ISERROR(#REF!),D283,0)</f>
        <v>0</v>
      </c>
      <c r="E331" s="30" t="str">
        <f>""</f>
        <v/>
      </c>
    </row>
    <row r="332" spans="1:5" ht="12.75" customHeight="1" x14ac:dyDescent="0.2">
      <c r="A332" s="28" t="str">
        <f>"   "&amp;Labels!B112</f>
        <v xml:space="preserve">   Series A</v>
      </c>
      <c r="B332" s="70">
        <f>Investment!B78+Investment!B108+0*0-IF(ISERROR(C284),B284,0)</f>
        <v>0</v>
      </c>
      <c r="C332" s="70">
        <f>Investment!C78+Investment!C108+0-IF(ISERROR(D284),C284,0)</f>
        <v>0</v>
      </c>
      <c r="D332" s="70">
        <f>Investment!D78+Investment!D108+0-IF(ISERROR(#REF!),D284,0)</f>
        <v>0</v>
      </c>
      <c r="E332" s="30" t="str">
        <f>""</f>
        <v/>
      </c>
    </row>
    <row r="333" spans="1:5" ht="12.75" customHeight="1" x14ac:dyDescent="0.2">
      <c r="A333" s="73" t="str">
        <f>"   "&amp;Labels!C110</f>
        <v xml:space="preserve">   Subtotal</v>
      </c>
      <c r="B333" s="74">
        <f>SUM(B331:B332)</f>
        <v>0</v>
      </c>
      <c r="C333" s="74">
        <f>SUM(C331:C332)</f>
        <v>0</v>
      </c>
      <c r="D333" s="74">
        <f>SUM(D331:D332)</f>
        <v>0</v>
      </c>
      <c r="E333" s="30" t="str">
        <f>""</f>
        <v/>
      </c>
    </row>
    <row r="334" spans="1:5" ht="12.75" customHeight="1" x14ac:dyDescent="0.2">
      <c r="A334" s="4" t="str">
        <f>Labels!C102</f>
        <v>Total</v>
      </c>
      <c r="B334" s="77">
        <f>SUM(B324,B327:B329,B333)</f>
        <v>1</v>
      </c>
      <c r="C334" s="77">
        <f>SUM(C324,C327:C329,C333)</f>
        <v>0</v>
      </c>
      <c r="D334" s="77">
        <f>SUM(D324,D327:D329,D333)</f>
        <v>-1000000</v>
      </c>
      <c r="E334" s="47" t="str">
        <f>""</f>
        <v/>
      </c>
    </row>
  </sheetData>
  <mergeCells count="3">
    <mergeCell ref="A1:D1"/>
    <mergeCell ref="A2:D2"/>
    <mergeCell ref="A3:D3"/>
  </mergeCells>
  <pageMargins left="0.25" right="0.25" top="0.5" bottom="0.5" header="0.5" footer="0.5"/>
  <pageSetup paperSize="9" fitToHeight="32767" orientation="landscape" horizontalDpi="300" verticalDpi="300"/>
  <headerFooter alignWithMargins="0"/>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112"/>
  <sheetViews>
    <sheetView zoomScaleNormal="100" workbookViewId="0"/>
  </sheetViews>
  <sheetFormatPr defaultRowHeight="12.75" customHeight="1" x14ac:dyDescent="0.2"/>
  <cols>
    <col min="1" max="1" width="29.85546875" customWidth="1"/>
    <col min="2" max="2" width="25.28515625" customWidth="1"/>
    <col min="3" max="3" width="9.140625" customWidth="1"/>
    <col min="4" max="4" width="19.140625" customWidth="1"/>
    <col min="5" max="5" width="60.7109375" style="223" customWidth="1"/>
  </cols>
  <sheetData>
    <row r="1" spans="1:5" ht="12.75" customHeight="1" x14ac:dyDescent="0.2">
      <c r="A1" s="261" t="str">
        <f>"Capitalization Table"</f>
        <v>Capitalization Table</v>
      </c>
      <c r="B1" s="261"/>
      <c r="C1" s="261"/>
      <c r="D1" s="261"/>
    </row>
    <row r="2" spans="1:5" ht="12.75" customHeight="1" x14ac:dyDescent="0.2">
      <c r="A2" s="261" t="str">
        <f>Inputs!B8</f>
        <v>ABC Corp.</v>
      </c>
      <c r="B2" s="261"/>
      <c r="C2" s="261"/>
      <c r="D2" s="261"/>
    </row>
    <row r="3" spans="1:5" ht="12.75" customHeight="1" x14ac:dyDescent="0.2">
      <c r="A3" s="261" t="str">
        <f>IF("Labels"="(Default Input)","Ignore this sheet in normal use.","Investment Scenario "&amp;1&amp;", Valuation Scenario "&amp;1)</f>
        <v>Investment Scenario 1, Valuation Scenario 1</v>
      </c>
      <c r="B3" s="261"/>
      <c r="C3" s="261"/>
      <c r="D3" s="261"/>
    </row>
    <row r="4" spans="1:5" ht="12.75" customHeight="1" x14ac:dyDescent="0.2">
      <c r="A4" s="210" t="s">
        <v>421</v>
      </c>
      <c r="B4" s="210" t="s">
        <v>393</v>
      </c>
      <c r="C4" s="210"/>
      <c r="D4" s="210"/>
      <c r="E4" s="221" t="s">
        <v>482</v>
      </c>
    </row>
    <row r="5" spans="1:5" ht="12.75" customHeight="1" x14ac:dyDescent="0.2">
      <c r="A5" s="211" t="s">
        <v>139</v>
      </c>
      <c r="B5" s="212" t="s">
        <v>90</v>
      </c>
      <c r="C5" s="213"/>
      <c r="D5" s="213"/>
      <c r="E5" s="222" t="s">
        <v>165</v>
      </c>
    </row>
    <row r="6" spans="1:5" ht="102" customHeight="1" x14ac:dyDescent="0.2">
      <c r="A6" s="211" t="s">
        <v>182</v>
      </c>
      <c r="B6" s="212" t="s">
        <v>656</v>
      </c>
      <c r="C6" s="213"/>
      <c r="D6" s="213"/>
      <c r="E6" s="222" t="s">
        <v>495</v>
      </c>
    </row>
    <row r="7" spans="1:5" ht="204.75" customHeight="1" x14ac:dyDescent="0.2">
      <c r="A7" s="211" t="s">
        <v>361</v>
      </c>
      <c r="B7" s="212" t="s">
        <v>489</v>
      </c>
      <c r="C7" s="213"/>
      <c r="D7" s="213"/>
      <c r="E7" s="222" t="s">
        <v>185</v>
      </c>
    </row>
    <row r="8" spans="1:5" ht="45.75" customHeight="1" x14ac:dyDescent="0.2">
      <c r="A8" s="211" t="s">
        <v>89</v>
      </c>
      <c r="B8" s="212" t="s">
        <v>614</v>
      </c>
      <c r="C8" s="213"/>
      <c r="D8" s="213"/>
      <c r="E8" s="222" t="s">
        <v>806</v>
      </c>
    </row>
    <row r="9" spans="1:5" ht="33.75" customHeight="1" x14ac:dyDescent="0.2">
      <c r="A9" s="211" t="s">
        <v>484</v>
      </c>
      <c r="B9" s="212" t="s">
        <v>665</v>
      </c>
      <c r="C9" s="213"/>
      <c r="D9" s="213"/>
      <c r="E9" s="222" t="s">
        <v>229</v>
      </c>
    </row>
    <row r="10" spans="1:5" ht="45.75" customHeight="1" x14ac:dyDescent="0.2">
      <c r="A10" s="211" t="s">
        <v>3</v>
      </c>
      <c r="B10" s="212" t="s">
        <v>74</v>
      </c>
      <c r="C10" s="213"/>
      <c r="D10" s="213"/>
      <c r="E10" s="222" t="s">
        <v>335</v>
      </c>
    </row>
    <row r="11" spans="1:5" ht="33.75" customHeight="1" x14ac:dyDescent="0.2">
      <c r="A11" s="211" t="s">
        <v>700</v>
      </c>
      <c r="B11" s="212" t="s">
        <v>786</v>
      </c>
      <c r="C11" s="213"/>
      <c r="D11" s="213"/>
      <c r="E11" s="222" t="s">
        <v>323</v>
      </c>
    </row>
    <row r="12" spans="1:5" ht="90.75" customHeight="1" x14ac:dyDescent="0.2">
      <c r="A12" s="211" t="s">
        <v>820</v>
      </c>
      <c r="B12" s="212" t="s">
        <v>723</v>
      </c>
      <c r="C12" s="213"/>
      <c r="D12" s="213"/>
      <c r="E12" s="222" t="s">
        <v>167</v>
      </c>
    </row>
    <row r="13" spans="1:5" ht="33.75" customHeight="1" x14ac:dyDescent="0.2">
      <c r="A13" s="211" t="s">
        <v>784</v>
      </c>
      <c r="B13" s="212" t="s">
        <v>154</v>
      </c>
      <c r="C13" s="213"/>
      <c r="D13" s="213"/>
      <c r="E13" s="222" t="s">
        <v>410</v>
      </c>
    </row>
    <row r="14" spans="1:5" ht="22.5" customHeight="1" x14ac:dyDescent="0.2">
      <c r="A14" s="211" t="s">
        <v>468</v>
      </c>
      <c r="B14" s="212" t="s">
        <v>522</v>
      </c>
      <c r="C14" s="213"/>
      <c r="D14" s="213"/>
      <c r="E14" s="222" t="s">
        <v>280</v>
      </c>
    </row>
    <row r="15" spans="1:5" ht="22.5" customHeight="1" x14ac:dyDescent="0.2">
      <c r="A15" s="211" t="s">
        <v>573</v>
      </c>
      <c r="B15" s="212" t="s">
        <v>573</v>
      </c>
      <c r="C15" s="213"/>
      <c r="D15" s="213"/>
      <c r="E15" s="222" t="s">
        <v>339</v>
      </c>
    </row>
    <row r="16" spans="1:5" ht="57" customHeight="1" x14ac:dyDescent="0.2">
      <c r="A16" s="211" t="s">
        <v>415</v>
      </c>
      <c r="B16" s="212" t="s">
        <v>222</v>
      </c>
      <c r="C16" s="213"/>
      <c r="D16" s="213"/>
      <c r="E16" s="222" t="s">
        <v>177</v>
      </c>
    </row>
    <row r="17" spans="1:5" ht="45.75" customHeight="1" x14ac:dyDescent="0.2">
      <c r="A17" s="211" t="s">
        <v>411</v>
      </c>
      <c r="B17" s="212" t="s">
        <v>222</v>
      </c>
      <c r="C17" s="213"/>
      <c r="D17" s="213"/>
      <c r="E17" s="222" t="s">
        <v>330</v>
      </c>
    </row>
    <row r="18" spans="1:5" ht="12.75" customHeight="1" x14ac:dyDescent="0.2">
      <c r="A18" s="211" t="s">
        <v>2</v>
      </c>
      <c r="B18" s="212" t="s">
        <v>560</v>
      </c>
      <c r="C18" s="213"/>
      <c r="D18" s="213"/>
      <c r="E18" s="222" t="s">
        <v>21</v>
      </c>
    </row>
    <row r="19" spans="1:5" ht="22.5" customHeight="1" x14ac:dyDescent="0.2">
      <c r="A19" s="211" t="s">
        <v>606</v>
      </c>
      <c r="B19" s="212" t="s">
        <v>671</v>
      </c>
      <c r="C19" s="213"/>
      <c r="D19" s="213"/>
      <c r="E19" s="222" t="s">
        <v>188</v>
      </c>
    </row>
    <row r="20" spans="1:5" ht="12.75" customHeight="1" x14ac:dyDescent="0.2">
      <c r="A20" s="211" t="s">
        <v>627</v>
      </c>
      <c r="B20" s="212" t="s">
        <v>575</v>
      </c>
      <c r="C20" s="213"/>
      <c r="D20" s="213"/>
      <c r="E20" s="222" t="s">
        <v>813</v>
      </c>
    </row>
    <row r="21" spans="1:5" ht="12.75" customHeight="1" x14ac:dyDescent="0.2">
      <c r="A21" s="211" t="s">
        <v>49</v>
      </c>
      <c r="B21" s="212" t="s">
        <v>575</v>
      </c>
      <c r="C21" s="213"/>
      <c r="D21" s="213"/>
      <c r="E21" s="222" t="s">
        <v>349</v>
      </c>
    </row>
    <row r="22" spans="1:5" ht="45.75" customHeight="1" x14ac:dyDescent="0.2">
      <c r="A22" s="211" t="s">
        <v>328</v>
      </c>
      <c r="B22" s="212" t="s">
        <v>590</v>
      </c>
      <c r="C22" s="213"/>
      <c r="D22" s="213"/>
      <c r="E22" s="222" t="s">
        <v>596</v>
      </c>
    </row>
    <row r="23" spans="1:5" ht="12.75" customHeight="1" x14ac:dyDescent="0.2">
      <c r="A23" s="211" t="s">
        <v>771</v>
      </c>
      <c r="B23" s="212" t="s">
        <v>590</v>
      </c>
      <c r="C23" s="213"/>
      <c r="D23" s="213"/>
      <c r="E23" s="222" t="s">
        <v>551</v>
      </c>
    </row>
    <row r="24" spans="1:5" ht="12.75" customHeight="1" x14ac:dyDescent="0.2">
      <c r="A24" s="211" t="s">
        <v>659</v>
      </c>
      <c r="B24" s="212" t="s">
        <v>651</v>
      </c>
      <c r="C24" s="213"/>
      <c r="D24" s="213"/>
      <c r="E24" s="222" t="s">
        <v>156</v>
      </c>
    </row>
    <row r="25" spans="1:5" ht="12.75" customHeight="1" x14ac:dyDescent="0.2">
      <c r="A25" s="211" t="s">
        <v>493</v>
      </c>
      <c r="B25" s="212" t="s">
        <v>590</v>
      </c>
      <c r="C25" s="213"/>
      <c r="D25" s="213"/>
      <c r="E25" s="222" t="s">
        <v>156</v>
      </c>
    </row>
    <row r="26" spans="1:5" ht="22.5" customHeight="1" x14ac:dyDescent="0.2">
      <c r="A26" s="211" t="s">
        <v>285</v>
      </c>
      <c r="B26" s="212" t="s">
        <v>509</v>
      </c>
      <c r="C26" s="213"/>
      <c r="D26" s="213"/>
      <c r="E26" s="222" t="s">
        <v>175</v>
      </c>
    </row>
    <row r="27" spans="1:5" ht="22.5" customHeight="1" x14ac:dyDescent="0.2">
      <c r="A27" s="211" t="s">
        <v>779</v>
      </c>
      <c r="B27" s="212" t="s">
        <v>4</v>
      </c>
      <c r="C27" s="213"/>
      <c r="D27" s="213"/>
      <c r="E27" s="222" t="s">
        <v>540</v>
      </c>
    </row>
    <row r="28" spans="1:5" ht="33.75" customHeight="1" x14ac:dyDescent="0.2">
      <c r="A28" s="211" t="s">
        <v>334</v>
      </c>
      <c r="B28" s="212" t="s">
        <v>487</v>
      </c>
      <c r="C28" s="213"/>
      <c r="D28" s="213"/>
      <c r="E28" s="222" t="s">
        <v>55</v>
      </c>
    </row>
    <row r="29" spans="1:5" ht="33.75" customHeight="1" x14ac:dyDescent="0.2">
      <c r="A29" s="211" t="s">
        <v>478</v>
      </c>
      <c r="B29" s="212" t="s">
        <v>291</v>
      </c>
      <c r="C29" s="213"/>
      <c r="D29" s="213"/>
      <c r="E29" s="222" t="s">
        <v>55</v>
      </c>
    </row>
    <row r="30" spans="1:5" ht="12.75" customHeight="1" x14ac:dyDescent="0.2">
      <c r="A30" s="211" t="s">
        <v>446</v>
      </c>
      <c r="B30" s="212" t="s">
        <v>721</v>
      </c>
      <c r="C30" s="213"/>
      <c r="D30" s="213"/>
      <c r="E30" s="222" t="s">
        <v>469</v>
      </c>
    </row>
    <row r="31" spans="1:5" ht="22.5" customHeight="1" x14ac:dyDescent="0.2">
      <c r="A31" s="211" t="s">
        <v>810</v>
      </c>
      <c r="B31" s="212" t="s">
        <v>112</v>
      </c>
      <c r="C31" s="213"/>
      <c r="D31" s="213"/>
      <c r="E31" s="222" t="s">
        <v>168</v>
      </c>
    </row>
    <row r="32" spans="1:5" ht="22.5" customHeight="1" x14ac:dyDescent="0.2">
      <c r="A32" s="211" t="s">
        <v>757</v>
      </c>
      <c r="B32" s="212" t="s">
        <v>247</v>
      </c>
      <c r="C32" s="213"/>
      <c r="D32" s="213"/>
      <c r="E32" s="222" t="s">
        <v>521</v>
      </c>
    </row>
    <row r="33" spans="1:5" ht="22.5" customHeight="1" x14ac:dyDescent="0.2">
      <c r="A33" s="211" t="s">
        <v>404</v>
      </c>
      <c r="B33" s="212" t="s">
        <v>67</v>
      </c>
      <c r="C33" s="213"/>
      <c r="D33" s="213"/>
      <c r="E33" s="222" t="s">
        <v>129</v>
      </c>
    </row>
    <row r="34" spans="1:5" ht="22.5" customHeight="1" x14ac:dyDescent="0.2">
      <c r="A34" s="211" t="s">
        <v>143</v>
      </c>
      <c r="B34" s="212" t="s">
        <v>217</v>
      </c>
      <c r="C34" s="213"/>
      <c r="D34" s="213"/>
      <c r="E34" s="222" t="s">
        <v>399</v>
      </c>
    </row>
    <row r="35" spans="1:5" ht="22.5" customHeight="1" x14ac:dyDescent="0.2">
      <c r="A35" s="211" t="s">
        <v>396</v>
      </c>
      <c r="B35" s="212" t="s">
        <v>313</v>
      </c>
      <c r="C35" s="213"/>
      <c r="D35" s="213"/>
      <c r="E35" s="222" t="s">
        <v>526</v>
      </c>
    </row>
    <row r="36" spans="1:5" ht="22.5" customHeight="1" x14ac:dyDescent="0.2">
      <c r="A36" s="211" t="s">
        <v>152</v>
      </c>
      <c r="B36" s="212" t="s">
        <v>320</v>
      </c>
      <c r="C36" s="213"/>
      <c r="D36" s="213"/>
      <c r="E36" s="222" t="s">
        <v>501</v>
      </c>
    </row>
    <row r="37" spans="1:5" ht="22.5" customHeight="1" x14ac:dyDescent="0.2">
      <c r="A37" s="211" t="s">
        <v>508</v>
      </c>
      <c r="B37" s="212" t="s">
        <v>745</v>
      </c>
      <c r="C37" s="213"/>
      <c r="D37" s="213"/>
      <c r="E37" s="222" t="s">
        <v>317</v>
      </c>
    </row>
    <row r="38" spans="1:5" ht="125.25" customHeight="1" x14ac:dyDescent="0.2">
      <c r="A38" s="211" t="s">
        <v>336</v>
      </c>
      <c r="B38" s="212" t="s">
        <v>507</v>
      </c>
      <c r="C38" s="213"/>
      <c r="D38" s="213"/>
      <c r="E38" s="222" t="s">
        <v>537</v>
      </c>
    </row>
    <row r="39" spans="1:5" ht="147.75" customHeight="1" x14ac:dyDescent="0.2">
      <c r="A39" s="211" t="s">
        <v>518</v>
      </c>
      <c r="B39" s="212" t="s">
        <v>500</v>
      </c>
      <c r="C39" s="213"/>
      <c r="D39" s="213"/>
      <c r="E39" s="222" t="s">
        <v>753</v>
      </c>
    </row>
    <row r="40" spans="1:5" ht="22.5" customHeight="1" x14ac:dyDescent="0.2">
      <c r="A40" s="211" t="s">
        <v>341</v>
      </c>
      <c r="B40" s="212" t="s">
        <v>500</v>
      </c>
      <c r="C40" s="213"/>
      <c r="D40" s="213"/>
      <c r="E40" s="222" t="s">
        <v>108</v>
      </c>
    </row>
    <row r="41" spans="1:5" ht="22.5" customHeight="1" x14ac:dyDescent="0.2">
      <c r="A41" s="211" t="s">
        <v>259</v>
      </c>
      <c r="B41" s="212" t="s">
        <v>462</v>
      </c>
      <c r="C41" s="213"/>
      <c r="D41" s="213"/>
      <c r="E41" s="222" t="s">
        <v>17</v>
      </c>
    </row>
    <row r="42" spans="1:5" ht="33.75" customHeight="1" x14ac:dyDescent="0.2">
      <c r="A42" s="211" t="s">
        <v>309</v>
      </c>
      <c r="B42" s="212" t="s">
        <v>173</v>
      </c>
      <c r="C42" s="213"/>
      <c r="D42" s="213"/>
      <c r="E42" s="222" t="s">
        <v>714</v>
      </c>
    </row>
    <row r="43" spans="1:5" ht="45.75" customHeight="1" x14ac:dyDescent="0.2">
      <c r="A43" s="211" t="s">
        <v>505</v>
      </c>
      <c r="B43" s="212" t="s">
        <v>173</v>
      </c>
      <c r="C43" s="213"/>
      <c r="D43" s="213"/>
      <c r="E43" s="222" t="s">
        <v>648</v>
      </c>
    </row>
    <row r="44" spans="1:5" ht="33.75" customHeight="1" x14ac:dyDescent="0.2">
      <c r="A44" s="211" t="s">
        <v>206</v>
      </c>
      <c r="B44" s="212" t="s">
        <v>741</v>
      </c>
      <c r="C44" s="213"/>
      <c r="D44" s="213"/>
      <c r="E44" s="222" t="s">
        <v>324</v>
      </c>
    </row>
    <row r="45" spans="1:5" ht="22.5" customHeight="1" x14ac:dyDescent="0.2">
      <c r="A45" s="211" t="s">
        <v>722</v>
      </c>
      <c r="B45" s="212" t="s">
        <v>145</v>
      </c>
      <c r="C45" s="213"/>
      <c r="D45" s="213"/>
      <c r="E45" s="222" t="s">
        <v>12</v>
      </c>
    </row>
    <row r="46" spans="1:5" ht="33.75" customHeight="1" x14ac:dyDescent="0.2">
      <c r="A46" s="211" t="s">
        <v>351</v>
      </c>
      <c r="B46" s="212" t="s">
        <v>622</v>
      </c>
      <c r="C46" s="213"/>
      <c r="D46" s="213"/>
      <c r="E46" s="222" t="s">
        <v>796</v>
      </c>
    </row>
    <row r="47" spans="1:5" ht="22.5" customHeight="1" x14ac:dyDescent="0.2">
      <c r="A47" s="211" t="s">
        <v>327</v>
      </c>
      <c r="B47" s="212" t="s">
        <v>325</v>
      </c>
      <c r="C47" s="213"/>
      <c r="D47" s="213"/>
      <c r="E47" s="222" t="s">
        <v>715</v>
      </c>
    </row>
    <row r="48" spans="1:5" ht="33.75" customHeight="1" x14ac:dyDescent="0.2">
      <c r="A48" s="211" t="s">
        <v>739</v>
      </c>
      <c r="B48" s="212" t="s">
        <v>762</v>
      </c>
      <c r="C48" s="213"/>
      <c r="D48" s="213"/>
      <c r="E48" s="222" t="s">
        <v>639</v>
      </c>
    </row>
    <row r="49" spans="1:5" ht="33.75" customHeight="1" x14ac:dyDescent="0.2">
      <c r="A49" s="211" t="s">
        <v>578</v>
      </c>
      <c r="B49" s="212" t="s">
        <v>425</v>
      </c>
      <c r="C49" s="213"/>
      <c r="D49" s="213"/>
      <c r="E49" s="222" t="s">
        <v>357</v>
      </c>
    </row>
    <row r="50" spans="1:5" ht="33.75" customHeight="1" x14ac:dyDescent="0.2">
      <c r="A50" s="211" t="s">
        <v>231</v>
      </c>
      <c r="B50" s="212" t="s">
        <v>547</v>
      </c>
      <c r="C50" s="213"/>
      <c r="D50" s="213"/>
      <c r="E50" s="222" t="s">
        <v>289</v>
      </c>
    </row>
    <row r="51" spans="1:5" ht="22.5" customHeight="1" x14ac:dyDescent="0.2">
      <c r="A51" s="211" t="s">
        <v>798</v>
      </c>
      <c r="B51" s="212" t="s">
        <v>667</v>
      </c>
      <c r="C51" s="213"/>
      <c r="D51" s="213"/>
      <c r="E51" s="222" t="s">
        <v>733</v>
      </c>
    </row>
    <row r="52" spans="1:5" ht="33.75" customHeight="1" x14ac:dyDescent="0.2">
      <c r="A52" s="211" t="s">
        <v>427</v>
      </c>
      <c r="B52" s="212" t="s">
        <v>780</v>
      </c>
      <c r="C52" s="213"/>
      <c r="D52" s="213"/>
      <c r="E52" s="222" t="s">
        <v>679</v>
      </c>
    </row>
    <row r="53" spans="1:5" ht="45.75" customHeight="1" x14ac:dyDescent="0.2">
      <c r="A53" s="211" t="s">
        <v>116</v>
      </c>
      <c r="B53" s="212" t="s">
        <v>516</v>
      </c>
      <c r="C53" s="213"/>
      <c r="D53" s="213"/>
      <c r="E53" s="222" t="s">
        <v>553</v>
      </c>
    </row>
    <row r="54" spans="1:5" ht="22.5" customHeight="1" x14ac:dyDescent="0.2">
      <c r="A54" s="211" t="s">
        <v>520</v>
      </c>
      <c r="B54" s="212" t="s">
        <v>33</v>
      </c>
      <c r="C54" s="213"/>
      <c r="D54" s="213"/>
      <c r="E54" s="222" t="s">
        <v>477</v>
      </c>
    </row>
    <row r="55" spans="1:5" ht="45.75" customHeight="1" x14ac:dyDescent="0.2">
      <c r="A55" s="211" t="s">
        <v>767</v>
      </c>
      <c r="B55" s="212" t="s">
        <v>296</v>
      </c>
      <c r="C55" s="213"/>
      <c r="D55" s="213"/>
      <c r="E55" s="222" t="s">
        <v>542</v>
      </c>
    </row>
    <row r="56" spans="1:5" ht="45.75" customHeight="1" x14ac:dyDescent="0.2">
      <c r="A56" s="211" t="s">
        <v>253</v>
      </c>
      <c r="B56" s="212" t="s">
        <v>296</v>
      </c>
      <c r="C56" s="213"/>
      <c r="D56" s="213"/>
      <c r="E56" s="222" t="s">
        <v>246</v>
      </c>
    </row>
    <row r="57" spans="1:5" ht="45.75" customHeight="1" x14ac:dyDescent="0.2">
      <c r="A57" s="211" t="s">
        <v>267</v>
      </c>
      <c r="B57" s="212" t="s">
        <v>592</v>
      </c>
      <c r="C57" s="213"/>
      <c r="D57" s="213"/>
      <c r="E57" s="222" t="s">
        <v>443</v>
      </c>
    </row>
    <row r="58" spans="1:5" ht="45.75" customHeight="1" x14ac:dyDescent="0.2">
      <c r="A58" s="211" t="s">
        <v>81</v>
      </c>
      <c r="B58" s="212" t="s">
        <v>592</v>
      </c>
      <c r="C58" s="213"/>
      <c r="D58" s="213"/>
      <c r="E58" s="222" t="s">
        <v>444</v>
      </c>
    </row>
    <row r="59" spans="1:5" ht="45.75" customHeight="1" x14ac:dyDescent="0.2">
      <c r="A59" s="211" t="s">
        <v>220</v>
      </c>
      <c r="B59" s="212" t="s">
        <v>37</v>
      </c>
      <c r="C59" s="213"/>
      <c r="D59" s="213"/>
      <c r="E59" s="222" t="s">
        <v>677</v>
      </c>
    </row>
    <row r="60" spans="1:5" ht="22.5" customHeight="1" x14ac:dyDescent="0.2">
      <c r="A60" s="211" t="s">
        <v>237</v>
      </c>
      <c r="B60" s="212" t="s">
        <v>261</v>
      </c>
      <c r="C60" s="213"/>
      <c r="D60" s="213"/>
      <c r="E60" s="222" t="s">
        <v>56</v>
      </c>
    </row>
    <row r="61" spans="1:5" ht="45.75" customHeight="1" x14ac:dyDescent="0.2">
      <c r="A61" s="211" t="s">
        <v>453</v>
      </c>
      <c r="B61" s="212" t="s">
        <v>37</v>
      </c>
      <c r="C61" s="213"/>
      <c r="D61" s="213"/>
      <c r="E61" s="222" t="s">
        <v>321</v>
      </c>
    </row>
    <row r="62" spans="1:5" ht="22.5" customHeight="1" x14ac:dyDescent="0.2">
      <c r="A62" s="211" t="s">
        <v>131</v>
      </c>
      <c r="B62" s="212" t="s">
        <v>261</v>
      </c>
      <c r="C62" s="213"/>
      <c r="D62" s="213"/>
      <c r="E62" s="222" t="s">
        <v>56</v>
      </c>
    </row>
    <row r="63" spans="1:5" ht="45.75" customHeight="1" x14ac:dyDescent="0.2">
      <c r="A63" s="211" t="s">
        <v>353</v>
      </c>
      <c r="B63" s="212" t="s">
        <v>164</v>
      </c>
      <c r="C63" s="213"/>
      <c r="D63" s="213"/>
      <c r="E63" s="222" t="s">
        <v>199</v>
      </c>
    </row>
    <row r="64" spans="1:5" ht="45.75" customHeight="1" x14ac:dyDescent="0.2">
      <c r="A64" s="211" t="s">
        <v>678</v>
      </c>
      <c r="B64" s="212" t="s">
        <v>164</v>
      </c>
      <c r="C64" s="213"/>
      <c r="D64" s="213"/>
      <c r="E64" s="222" t="s">
        <v>24</v>
      </c>
    </row>
    <row r="65" spans="1:5" ht="12.75" customHeight="1" x14ac:dyDescent="0.2">
      <c r="A65" s="211" t="s">
        <v>102</v>
      </c>
      <c r="B65" s="212" t="s">
        <v>202</v>
      </c>
      <c r="C65" s="213"/>
      <c r="D65" s="213"/>
      <c r="E65" s="222" t="s">
        <v>593</v>
      </c>
    </row>
    <row r="66" spans="1:5" ht="33.75" customHeight="1" x14ac:dyDescent="0.2">
      <c r="A66" s="211" t="s">
        <v>258</v>
      </c>
      <c r="B66" s="212" t="s">
        <v>480</v>
      </c>
      <c r="C66" s="213"/>
      <c r="D66" s="213"/>
      <c r="E66" s="222" t="s">
        <v>711</v>
      </c>
    </row>
    <row r="67" spans="1:5" ht="102" customHeight="1" x14ac:dyDescent="0.2">
      <c r="A67" s="211" t="s">
        <v>529</v>
      </c>
      <c r="B67" s="212" t="s">
        <v>180</v>
      </c>
      <c r="C67" s="213"/>
      <c r="D67" s="213"/>
      <c r="E67" s="222" t="s">
        <v>474</v>
      </c>
    </row>
    <row r="68" spans="1:5" ht="22.5" customHeight="1" x14ac:dyDescent="0.2">
      <c r="A68" s="211" t="s">
        <v>340</v>
      </c>
      <c r="B68" s="212" t="s">
        <v>60</v>
      </c>
      <c r="C68" s="213"/>
      <c r="D68" s="213"/>
      <c r="E68" s="222" t="s">
        <v>333</v>
      </c>
    </row>
    <row r="69" spans="1:5" ht="22.5" customHeight="1" x14ac:dyDescent="0.2">
      <c r="A69" s="211" t="s">
        <v>338</v>
      </c>
      <c r="B69" s="212" t="s">
        <v>85</v>
      </c>
      <c r="C69" s="213"/>
      <c r="D69" s="213"/>
      <c r="E69" s="222" t="s">
        <v>804</v>
      </c>
    </row>
    <row r="70" spans="1:5" ht="45.75" customHeight="1" x14ac:dyDescent="0.2">
      <c r="A70" s="211" t="s">
        <v>803</v>
      </c>
      <c r="B70" s="212" t="s">
        <v>326</v>
      </c>
      <c r="C70" s="213"/>
      <c r="D70" s="213"/>
      <c r="E70" s="222" t="s">
        <v>494</v>
      </c>
    </row>
    <row r="71" spans="1:5" ht="33.75" customHeight="1" x14ac:dyDescent="0.2">
      <c r="A71" s="211" t="s">
        <v>690</v>
      </c>
      <c r="B71" s="212" t="s">
        <v>641</v>
      </c>
      <c r="C71" s="213"/>
      <c r="D71" s="213"/>
      <c r="E71" s="222" t="s">
        <v>740</v>
      </c>
    </row>
    <row r="72" spans="1:5" ht="12.75" customHeight="1" x14ac:dyDescent="0.2">
      <c r="A72" s="211" t="s">
        <v>557</v>
      </c>
      <c r="B72" s="212" t="s">
        <v>734</v>
      </c>
      <c r="C72" s="213"/>
      <c r="D72" s="213"/>
      <c r="E72" s="222" t="s">
        <v>799</v>
      </c>
    </row>
    <row r="73" spans="1:5" ht="12.75" customHeight="1" x14ac:dyDescent="0.2">
      <c r="A73" s="211" t="s">
        <v>52</v>
      </c>
      <c r="B73" s="212" t="s">
        <v>355</v>
      </c>
      <c r="C73" s="213"/>
      <c r="D73" s="213"/>
      <c r="E73" s="222"/>
    </row>
    <row r="74" spans="1:5" ht="12.75" customHeight="1" x14ac:dyDescent="0.2">
      <c r="A74" s="211" t="s">
        <v>306</v>
      </c>
      <c r="B74" s="212" t="s">
        <v>306</v>
      </c>
      <c r="C74" s="213"/>
      <c r="D74" s="213"/>
      <c r="E74" s="222"/>
    </row>
    <row r="75" spans="1:5" ht="12.75" customHeight="1" x14ac:dyDescent="0.2">
      <c r="A75" s="211" t="s">
        <v>195</v>
      </c>
      <c r="B75" s="212" t="s">
        <v>72</v>
      </c>
      <c r="C75" s="213"/>
      <c r="D75" s="213"/>
      <c r="E75" s="222" t="s">
        <v>305</v>
      </c>
    </row>
    <row r="76" spans="1:5" ht="22.5" customHeight="1" x14ac:dyDescent="0.2">
      <c r="A76" s="211" t="s">
        <v>287</v>
      </c>
      <c r="B76" s="212" t="s">
        <v>407</v>
      </c>
      <c r="C76" s="213"/>
      <c r="D76" s="213"/>
      <c r="E76" s="222" t="s">
        <v>337</v>
      </c>
    </row>
    <row r="77" spans="1:5" ht="12.75" customHeight="1" x14ac:dyDescent="0.2">
      <c r="A77" s="211" t="s">
        <v>40</v>
      </c>
      <c r="B77" s="212" t="s">
        <v>277</v>
      </c>
      <c r="C77" s="213"/>
      <c r="D77" s="213"/>
      <c r="E77" s="222" t="s">
        <v>352</v>
      </c>
    </row>
    <row r="78" spans="1:5" ht="159" customHeight="1" x14ac:dyDescent="0.2">
      <c r="A78" s="211" t="s">
        <v>93</v>
      </c>
      <c r="B78" s="212" t="s">
        <v>18</v>
      </c>
      <c r="C78" s="213"/>
      <c r="D78" s="213"/>
      <c r="E78" s="222" t="s">
        <v>583</v>
      </c>
    </row>
    <row r="79" spans="1:5" ht="33.75" customHeight="1" x14ac:dyDescent="0.2">
      <c r="A79" s="211" t="s">
        <v>92</v>
      </c>
      <c r="B79" s="212" t="s">
        <v>613</v>
      </c>
      <c r="C79" s="213"/>
      <c r="D79" s="213"/>
      <c r="E79" s="222" t="s">
        <v>660</v>
      </c>
    </row>
    <row r="80" spans="1:5" ht="33.75" customHeight="1" x14ac:dyDescent="0.2">
      <c r="A80" s="211" t="s">
        <v>549</v>
      </c>
      <c r="B80" s="212" t="s">
        <v>776</v>
      </c>
      <c r="C80" s="213"/>
      <c r="D80" s="213"/>
      <c r="E80" s="222" t="s">
        <v>162</v>
      </c>
    </row>
    <row r="82" spans="1:5" ht="12.75" customHeight="1" x14ac:dyDescent="0.2">
      <c r="A82" s="210" t="s">
        <v>815</v>
      </c>
      <c r="B82" s="210" t="s">
        <v>7</v>
      </c>
      <c r="C82" s="210" t="s">
        <v>69</v>
      </c>
      <c r="D82" s="210" t="s">
        <v>80</v>
      </c>
      <c r="E82" s="221" t="s">
        <v>482</v>
      </c>
    </row>
    <row r="83" spans="1:5" ht="125.25" customHeight="1" x14ac:dyDescent="0.2">
      <c r="A83" s="211" t="s">
        <v>694</v>
      </c>
      <c r="B83" s="214" t="s">
        <v>701</v>
      </c>
      <c r="C83" s="214" t="s">
        <v>389</v>
      </c>
      <c r="D83" s="214" t="s">
        <v>694</v>
      </c>
      <c r="E83" s="222" t="s">
        <v>617</v>
      </c>
    </row>
    <row r="84" spans="1:5" ht="12.75" customHeight="1" x14ac:dyDescent="0.2">
      <c r="A84" s="211" t="s">
        <v>82</v>
      </c>
      <c r="B84" s="215" t="s">
        <v>665</v>
      </c>
      <c r="D84" s="215" t="s">
        <v>694</v>
      </c>
    </row>
    <row r="85" spans="1:5" ht="12.75" customHeight="1" x14ac:dyDescent="0.2">
      <c r="A85" s="211" t="s">
        <v>329</v>
      </c>
      <c r="B85" s="215" t="s">
        <v>74</v>
      </c>
    </row>
    <row r="86" spans="1:5" ht="12.75" customHeight="1" x14ac:dyDescent="0.2">
      <c r="A86" s="211" t="s">
        <v>332</v>
      </c>
      <c r="B86" s="215" t="s">
        <v>786</v>
      </c>
    </row>
    <row r="87" spans="1:5" ht="12.75" customHeight="1" x14ac:dyDescent="0.2">
      <c r="A87" s="211" t="s">
        <v>109</v>
      </c>
      <c r="B87" s="215" t="s">
        <v>580</v>
      </c>
    </row>
    <row r="88" spans="1:5" ht="12.75" customHeight="1" x14ac:dyDescent="0.2">
      <c r="A88" s="211" t="s">
        <v>312</v>
      </c>
      <c r="B88" s="215" t="s">
        <v>110</v>
      </c>
    </row>
    <row r="90" spans="1:5" ht="102" customHeight="1" x14ac:dyDescent="0.2">
      <c r="A90" s="211" t="s">
        <v>611</v>
      </c>
      <c r="B90" s="214" t="s">
        <v>611</v>
      </c>
      <c r="C90" s="214" t="s">
        <v>389</v>
      </c>
      <c r="D90" s="214" t="s">
        <v>706</v>
      </c>
      <c r="E90" s="222" t="s">
        <v>612</v>
      </c>
    </row>
    <row r="91" spans="1:5" ht="12.75" customHeight="1" x14ac:dyDescent="0.2">
      <c r="A91" s="211" t="s">
        <v>293</v>
      </c>
      <c r="B91" s="215" t="s">
        <v>703</v>
      </c>
      <c r="D91" s="215" t="s">
        <v>706</v>
      </c>
    </row>
    <row r="92" spans="1:5" ht="12.75" customHeight="1" x14ac:dyDescent="0.2">
      <c r="A92" s="211" t="s">
        <v>531</v>
      </c>
      <c r="B92" s="215" t="s">
        <v>70</v>
      </c>
    </row>
    <row r="93" spans="1:5" ht="12.75" customHeight="1" x14ac:dyDescent="0.2">
      <c r="A93" s="211" t="s">
        <v>374</v>
      </c>
      <c r="B93" s="215" t="s">
        <v>788</v>
      </c>
    </row>
    <row r="94" spans="1:5" ht="12.75" customHeight="1" x14ac:dyDescent="0.2">
      <c r="A94" s="211" t="s">
        <v>252</v>
      </c>
      <c r="B94" s="215" t="s">
        <v>751</v>
      </c>
    </row>
    <row r="95" spans="1:5" ht="12.75" customHeight="1" x14ac:dyDescent="0.2">
      <c r="A95" s="211" t="s">
        <v>594</v>
      </c>
      <c r="B95" s="215" t="s">
        <v>424</v>
      </c>
    </row>
    <row r="97" spans="1:5" ht="12.75" customHeight="1" x14ac:dyDescent="0.2">
      <c r="A97" s="211" t="s">
        <v>734</v>
      </c>
      <c r="B97" s="214" t="s">
        <v>734</v>
      </c>
      <c r="C97" s="214" t="s">
        <v>389</v>
      </c>
      <c r="D97" s="214" t="s">
        <v>734</v>
      </c>
      <c r="E97" s="222" t="s">
        <v>251</v>
      </c>
    </row>
    <row r="98" spans="1:5" ht="12.75" customHeight="1" x14ac:dyDescent="0.2">
      <c r="A98" s="211" t="s">
        <v>346</v>
      </c>
      <c r="B98" s="215" t="s">
        <v>179</v>
      </c>
      <c r="D98" s="215" t="s">
        <v>734</v>
      </c>
    </row>
    <row r="99" spans="1:5" ht="12.75" customHeight="1" x14ac:dyDescent="0.2">
      <c r="A99" s="211" t="s">
        <v>310</v>
      </c>
      <c r="B99" s="215" t="s">
        <v>54</v>
      </c>
    </row>
    <row r="100" spans="1:5" ht="12.75" customHeight="1" x14ac:dyDescent="0.2">
      <c r="A100" s="211" t="s">
        <v>36</v>
      </c>
      <c r="B100" s="215" t="s">
        <v>769</v>
      </c>
    </row>
    <row r="102" spans="1:5" ht="147.75" customHeight="1" x14ac:dyDescent="0.2">
      <c r="A102" s="211" t="s">
        <v>72</v>
      </c>
      <c r="B102" s="214" t="s">
        <v>72</v>
      </c>
      <c r="C102" s="214" t="s">
        <v>389</v>
      </c>
      <c r="D102" s="214" t="s">
        <v>760</v>
      </c>
      <c r="E102" s="222" t="s">
        <v>50</v>
      </c>
    </row>
    <row r="103" spans="1:5" ht="12.75" customHeight="1" x14ac:dyDescent="0.2">
      <c r="A103" s="211" t="s">
        <v>491</v>
      </c>
      <c r="B103" s="215" t="s">
        <v>793</v>
      </c>
      <c r="C103" s="215" t="s">
        <v>543</v>
      </c>
      <c r="D103" s="215" t="s">
        <v>760</v>
      </c>
    </row>
    <row r="104" spans="1:5" ht="12.75" customHeight="1" x14ac:dyDescent="0.2">
      <c r="A104" s="211" t="s">
        <v>448</v>
      </c>
      <c r="B104" s="216" t="s">
        <v>347</v>
      </c>
      <c r="D104" s="216" t="s">
        <v>238</v>
      </c>
    </row>
    <row r="105" spans="1:5" ht="12.75" customHeight="1" x14ac:dyDescent="0.2">
      <c r="A105" s="211" t="s">
        <v>158</v>
      </c>
      <c r="B105" s="216" t="s">
        <v>807</v>
      </c>
    </row>
    <row r="106" spans="1:5" ht="12.75" customHeight="1" x14ac:dyDescent="0.2">
      <c r="A106" s="211" t="s">
        <v>455</v>
      </c>
      <c r="B106" s="215" t="s">
        <v>449</v>
      </c>
      <c r="C106" s="215" t="s">
        <v>543</v>
      </c>
    </row>
    <row r="107" spans="1:5" ht="12.75" customHeight="1" x14ac:dyDescent="0.2">
      <c r="A107" s="211" t="s">
        <v>158</v>
      </c>
      <c r="B107" s="216" t="s">
        <v>807</v>
      </c>
    </row>
    <row r="108" spans="1:5" ht="12.75" customHeight="1" x14ac:dyDescent="0.2">
      <c r="A108" s="211" t="s">
        <v>186</v>
      </c>
      <c r="B108" s="215" t="s">
        <v>295</v>
      </c>
    </row>
    <row r="109" spans="1:5" ht="12.75" customHeight="1" x14ac:dyDescent="0.2">
      <c r="A109" s="211" t="s">
        <v>511</v>
      </c>
      <c r="B109" s="215" t="s">
        <v>376</v>
      </c>
    </row>
    <row r="110" spans="1:5" ht="12.75" customHeight="1" x14ac:dyDescent="0.2">
      <c r="A110" s="211" t="s">
        <v>151</v>
      </c>
      <c r="B110" s="215" t="s">
        <v>759</v>
      </c>
      <c r="C110" s="215" t="s">
        <v>543</v>
      </c>
    </row>
    <row r="111" spans="1:5" ht="12.75" customHeight="1" x14ac:dyDescent="0.2">
      <c r="A111" s="211" t="s">
        <v>448</v>
      </c>
      <c r="B111" s="216" t="s">
        <v>347</v>
      </c>
    </row>
    <row r="112" spans="1:5" ht="12.75" customHeight="1" x14ac:dyDescent="0.2">
      <c r="A112" s="211" t="s">
        <v>158</v>
      </c>
      <c r="B112" s="216" t="s">
        <v>807</v>
      </c>
    </row>
  </sheetData>
  <mergeCells count="3">
    <mergeCell ref="A1:D1"/>
    <mergeCell ref="A2:D2"/>
    <mergeCell ref="A3:D3"/>
  </mergeCells>
  <pageMargins left="0.25" right="0.25" top="0.5" bottom="0.5" header="0.5" footer="0.5"/>
  <pageSetup paperSize="9" fitToHeight="32767" orientation="landscape" horizontalDpi="3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Normal="100" workbookViewId="0"/>
  </sheetViews>
  <sheetFormatPr defaultRowHeight="12.75" customHeight="1" x14ac:dyDescent="0.2"/>
  <sheetData>
    <row r="1" spans="1:9" ht="12.75" customHeight="1" x14ac:dyDescent="0.2">
      <c r="A1" s="217">
        <f>Investment!D12</f>
        <v>0</v>
      </c>
      <c r="B1" s="217">
        <f>Investment!D13</f>
        <v>0</v>
      </c>
      <c r="C1" s="217">
        <f>Investment!D16</f>
        <v>0</v>
      </c>
      <c r="D1" s="217">
        <f>Investment!D18</f>
        <v>1000000</v>
      </c>
      <c r="E1" s="217">
        <f>Investment!D19</f>
        <v>0</v>
      </c>
      <c r="F1" s="217">
        <f>Investment!D21</f>
        <v>0</v>
      </c>
      <c r="G1" s="217">
        <f>Investment!D22</f>
        <v>0</v>
      </c>
    </row>
    <row r="2" spans="1:9" ht="12.75" customHeight="1" x14ac:dyDescent="0.2">
      <c r="A2" s="217">
        <f>Payout!B43</f>
        <v>0</v>
      </c>
      <c r="B2" s="217">
        <f>Payout!B44</f>
        <v>0</v>
      </c>
      <c r="C2" s="217">
        <f>Payout!B47</f>
        <v>0</v>
      </c>
      <c r="D2" s="217">
        <f>Payout!C47</f>
        <v>0</v>
      </c>
      <c r="E2" s="217">
        <f>Payout!D47</f>
        <v>0</v>
      </c>
      <c r="F2" s="217">
        <f>Payout!B49</f>
        <v>1000001</v>
      </c>
      <c r="G2" s="217">
        <f>Payout!B50</f>
        <v>0</v>
      </c>
      <c r="H2" s="217">
        <f>Payout!B52</f>
        <v>0</v>
      </c>
      <c r="I2" s="217">
        <f>Payout!B53</f>
        <v>0</v>
      </c>
    </row>
    <row r="3" spans="1:9" ht="12.75" customHeight="1" x14ac:dyDescent="0.2">
      <c r="A3" s="218">
        <f>Investment!F12</f>
        <v>0</v>
      </c>
      <c r="B3" s="218">
        <f>Investment!F13</f>
        <v>0</v>
      </c>
      <c r="C3" s="218">
        <f>Investment!F16</f>
        <v>0</v>
      </c>
      <c r="D3" s="218">
        <f>Investment!F18</f>
        <v>1000000</v>
      </c>
      <c r="E3" s="218">
        <f>Investment!F19</f>
        <v>0</v>
      </c>
      <c r="F3" s="218">
        <f>Investment!F21</f>
        <v>0</v>
      </c>
      <c r="G3" s="218">
        <f>Investment!F22</f>
        <v>0</v>
      </c>
    </row>
    <row r="4" spans="1:9" ht="12.75" customHeight="1" x14ac:dyDescent="0.2">
      <c r="A4" s="217">
        <f>Payout!D8</f>
        <v>0</v>
      </c>
      <c r="B4" s="217">
        <f>Payout!D9</f>
        <v>0</v>
      </c>
      <c r="C4" s="217">
        <f>Payout!D12</f>
        <v>0</v>
      </c>
      <c r="D4" s="217">
        <f>Payout!D14</f>
        <v>1000000</v>
      </c>
      <c r="E4" s="217">
        <f>Payout!D15</f>
        <v>0</v>
      </c>
      <c r="F4" s="217">
        <f>Payout!D17</f>
        <v>0</v>
      </c>
      <c r="G4" s="217">
        <f>Payout!D18</f>
        <v>0</v>
      </c>
    </row>
    <row r="5" spans="1:9" ht="12.75" customHeight="1" x14ac:dyDescent="0.2">
      <c r="A5" s="219" t="str">
        <f>'Plot Support'!B8</f>
        <v>Conv Note, Series B</v>
      </c>
      <c r="B5" s="219" t="str">
        <f>'Plot Support'!B9</f>
        <v>Conv Note, Series A</v>
      </c>
      <c r="C5" s="219" t="str">
        <f>'Plot Support'!B11</f>
        <v>Preferred, Series A</v>
      </c>
      <c r="D5" s="219" t="str">
        <f>'Plot Support'!B12</f>
        <v>Common</v>
      </c>
      <c r="E5" s="219" t="str">
        <f>'Plot Support'!B13</f>
        <v>Warrant</v>
      </c>
      <c r="F5" s="219" t="str">
        <f>'Plot Support'!B15</f>
        <v>Option, Series B</v>
      </c>
      <c r="G5" s="219" t="str">
        <f>'Plot Support'!B16</f>
        <v>Option, Series A</v>
      </c>
    </row>
    <row r="7" spans="1:9" ht="12.75" customHeight="1" x14ac:dyDescent="0.2">
      <c r="A7" s="220" t="s">
        <v>435</v>
      </c>
    </row>
    <row r="8" spans="1:9" ht="12.75" customHeight="1" x14ac:dyDescent="0.2">
      <c r="A8" t="s">
        <v>640</v>
      </c>
    </row>
    <row r="9" spans="1:9" ht="12.75" customHeight="1" x14ac:dyDescent="0.2">
      <c r="A9" s="220" t="s">
        <v>818</v>
      </c>
    </row>
    <row r="10" spans="1:9" ht="12.75" customHeight="1" x14ac:dyDescent="0.2">
      <c r="A10" s="220" t="s">
        <v>685</v>
      </c>
    </row>
    <row r="11" spans="1:9" ht="12.75" customHeight="1" x14ac:dyDescent="0.2">
      <c r="A11" s="220" t="s">
        <v>475</v>
      </c>
    </row>
    <row r="12" spans="1:9" ht="12.75" customHeight="1" x14ac:dyDescent="0.2">
      <c r="A12" s="220" t="s">
        <v>212</v>
      </c>
    </row>
    <row r="13" spans="1:9" ht="12.75" customHeight="1" x14ac:dyDescent="0.2">
      <c r="A13" s="220" t="s">
        <v>136</v>
      </c>
    </row>
    <row r="14" spans="1:9" ht="12.75" customHeight="1" x14ac:dyDescent="0.2">
      <c r="A14" s="220" t="s">
        <v>401</v>
      </c>
    </row>
    <row r="15" spans="1:9" ht="12.75" customHeight="1" x14ac:dyDescent="0.2">
      <c r="A15" s="220" t="s">
        <v>631</v>
      </c>
    </row>
    <row r="16" spans="1:9" ht="12.75" customHeight="1" x14ac:dyDescent="0.2">
      <c r="A16" s="220" t="s">
        <v>249</v>
      </c>
    </row>
    <row r="17" spans="1:1" ht="12.75" customHeight="1" x14ac:dyDescent="0.2">
      <c r="A17" s="220" t="s">
        <v>342</v>
      </c>
    </row>
    <row r="18" spans="1:1" ht="12.75" customHeight="1" x14ac:dyDescent="0.2">
      <c r="A18" s="220" t="s">
        <v>746</v>
      </c>
    </row>
    <row r="19" spans="1:1" ht="12.75" customHeight="1" x14ac:dyDescent="0.2">
      <c r="A19" s="220" t="s">
        <v>211</v>
      </c>
    </row>
    <row r="20" spans="1:1" ht="12.75" customHeight="1" x14ac:dyDescent="0.2">
      <c r="A20" s="220" t="s">
        <v>392</v>
      </c>
    </row>
    <row r="21" spans="1:1" ht="12.75" customHeight="1" x14ac:dyDescent="0.2">
      <c r="A21" s="220" t="s">
        <v>144</v>
      </c>
    </row>
    <row r="22" spans="1:1" ht="12.75" customHeight="1" x14ac:dyDescent="0.2">
      <c r="A22" s="220" t="s">
        <v>125</v>
      </c>
    </row>
    <row r="23" spans="1:1" ht="12.75" customHeight="1" x14ac:dyDescent="0.2">
      <c r="A23" s="220" t="s">
        <v>774</v>
      </c>
    </row>
    <row r="24" spans="1:1" ht="12.75" customHeight="1" x14ac:dyDescent="0.2">
      <c r="A24" s="220" t="s">
        <v>472</v>
      </c>
    </row>
    <row r="25" spans="1:1" ht="12.75" customHeight="1" x14ac:dyDescent="0.2">
      <c r="A25" s="220" t="s">
        <v>647</v>
      </c>
    </row>
    <row r="26" spans="1:1" ht="12.75" customHeight="1" x14ac:dyDescent="0.2">
      <c r="A26" s="220" t="s">
        <v>362</v>
      </c>
    </row>
    <row r="27" spans="1:1" ht="12.75" customHeight="1" x14ac:dyDescent="0.2">
      <c r="A27" s="220" t="s">
        <v>672</v>
      </c>
    </row>
  </sheetData>
  <pageMargins left="0.75" right="0.75" top="1" bottom="1" header="0.5" footer="0.5"/>
  <pageSetup paperSize="9" orientation="portrait"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4"/>
  <sheetViews>
    <sheetView zoomScaleNormal="100" workbookViewId="0"/>
  </sheetViews>
  <sheetFormatPr defaultRowHeight="12.75" customHeight="1" x14ac:dyDescent="0.2"/>
  <sheetData>
    <row r="1" spans="1:64" ht="12.75" customHeight="1" x14ac:dyDescent="0.2">
      <c r="A1" t="s">
        <v>403</v>
      </c>
      <c r="B1" t="str">
        <f>Labels!B70</f>
        <v>Share Price</v>
      </c>
      <c r="C1" t="s">
        <v>348</v>
      </c>
      <c r="D1" t="str">
        <f>Labels!E70</f>
        <v xml:space="preserve">The price of each type of security at the start of each investment round. Prices for sale of new securities in general differ from prices for conversion or exercise of securities in transactions at a later phase. These prices for unexercised options do not account for effects of stock volatility etc. in option pricing models. </v>
      </c>
      <c r="E1" t="s">
        <v>45</v>
      </c>
      <c r="F1" t="str">
        <f>Labels!B47</f>
        <v>Liq Multiple</v>
      </c>
      <c r="G1" t="s">
        <v>95</v>
      </c>
      <c r="H1" t="str">
        <f>Labels!E47</f>
        <v>The multiple of new investment that is added to liquidation preference for each class of security, in each investment round</v>
      </c>
      <c r="I1" t="s">
        <v>73</v>
      </c>
      <c r="J1" t="str">
        <f>Labels!B20</f>
        <v>Event Date</v>
      </c>
      <c r="K1" t="s">
        <v>197</v>
      </c>
      <c r="L1" t="str">
        <f>Labels!E20</f>
        <v>Date of each investment round, determined by investment scenario selected</v>
      </c>
      <c r="M1" t="s">
        <v>383</v>
      </c>
      <c r="N1" t="str">
        <f>Labels!B24</f>
        <v>Firm Value Start</v>
      </c>
      <c r="O1" t="s">
        <v>724</v>
      </c>
      <c r="P1" t="str">
        <f>Labels!E24</f>
        <v>Valuation of the firm at the start of each investment round</v>
      </c>
      <c r="Q1" t="s">
        <v>447</v>
      </c>
      <c r="R1" t="str">
        <f>Labels!B19</f>
        <v>Dividend % (Yr)</v>
      </c>
      <c r="S1" t="s">
        <v>77</v>
      </c>
      <c r="T1" t="str">
        <f>Labels!E19</f>
        <v>Dividend rate for preferred stock, and interest rate paid on convertible notes before conversion</v>
      </c>
      <c r="U1" t="s">
        <v>749</v>
      </c>
      <c r="V1" t="str">
        <f>Labels!B77</f>
        <v>Split Factor</v>
      </c>
      <c r="W1" t="s">
        <v>465</v>
      </c>
      <c r="X1" t="str">
        <f>Labels!E77</f>
        <v>Factor by which common shares are split before the start of each investment round</v>
      </c>
      <c r="Y1" t="s">
        <v>225</v>
      </c>
      <c r="Z1" t="str">
        <f>Labels!B22</f>
        <v>Firm Value</v>
      </c>
      <c r="AA1" t="s">
        <v>368</v>
      </c>
      <c r="AB1" t="str">
        <f>Labels!E22</f>
        <v>Firm value at phases Start, Post Sales, and End; and change in firm value at phases New Sales and Convert, for each investment round. A new investment (including paying the exercise price to exercise a warrant or option) increases the value of the firm by the amount of the new investment.</v>
      </c>
      <c r="AC1" t="s">
        <v>517</v>
      </c>
      <c r="AD1" t="str">
        <f>Labels!B65</f>
        <v>Initial Common Price</v>
      </c>
      <c r="AE1" t="s">
        <v>657</v>
      </c>
      <c r="AF1" t="str">
        <f>Labels!E65</f>
        <v>Initial common share price at the start of the seed round</v>
      </c>
      <c r="AG1" t="s">
        <v>378</v>
      </c>
      <c r="AH1" t="str">
        <f>Labels!B15</f>
        <v>Dividend</v>
      </c>
      <c r="AI1" t="s">
        <v>51</v>
      </c>
      <c r="AJ1" t="str">
        <f>Labels!E15</f>
        <v>Dividend in kind for convertible notes (before conversion), preferred stock (before conversion), and common stock, paid at start of each investment round</v>
      </c>
      <c r="AK1" t="s">
        <v>343</v>
      </c>
      <c r="AL1" t="str">
        <f>Labels!B71</f>
        <v>Return Multiple</v>
      </c>
      <c r="AM1" t="s">
        <v>19</v>
      </c>
      <c r="AN1" t="str">
        <f>Labels!E71</f>
        <v>The multiple of investment (ex-dividends) that each type of security gets. This is a straight multiple with no discounting for the time value of money. The value of founders' noncash contributions are included as investments in this computation.</v>
      </c>
      <c r="AO1" t="s">
        <v>814</v>
      </c>
      <c r="AP1" t="str">
        <f>Labels!B38</f>
        <v>Investment by Origin</v>
      </c>
      <c r="AQ1" t="s">
        <v>809</v>
      </c>
      <c r="AR1" t="str">
        <f>Labels!E38</f>
        <v>Gross investment, segmented by type and series of security, investment round, and phase. Converted notes and preferred shares and exercised warrants and options remain in their respective security types and series. 
The phase are:
* Start = investment in securities at the beginning of the round
* New Sales = new investment in securities in the round
* Post Sales = gross investment in securities after sale of new securities
* Convert = added investment in exercise $ amounts for exercised warrants and options
* End = investments at the end of the round (which still include amounts converted).</v>
      </c>
      <c r="AS1" t="s">
        <v>15</v>
      </c>
      <c r="AT1" t="str">
        <f>Labels!B10</f>
        <v>Trigger Invest</v>
      </c>
      <c r="AU1" t="s">
        <v>47</v>
      </c>
      <c r="AV1" t="str">
        <f>Labels!E10</f>
        <v>Minimum amount of equity capital that the company must raise before securities can be converted or exercised to obtain common stock. An amount greater than the capitalization of the company indicates that the security cannot be converted (or exercised).</v>
      </c>
      <c r="AW1" t="s">
        <v>758</v>
      </c>
      <c r="AX1" t="str">
        <f>Labels!B13</f>
        <v>Conv Discount %</v>
      </c>
      <c r="AY1" t="s">
        <v>536</v>
      </c>
      <c r="AZ1" t="str">
        <f>Labels!E13</f>
        <v>The discount percent on prevailing common share price that accrue to holders of each series of convertible security at the time of conversion or exercise. This discount is a reward for investing early when the risk was presumed higher.</v>
      </c>
      <c r="BA1" t="s">
        <v>459</v>
      </c>
      <c r="BB1" t="str">
        <f>Labels!B9</f>
        <v>Trigger Date</v>
      </c>
      <c r="BC1" t="s">
        <v>782</v>
      </c>
      <c r="BD1" t="str">
        <f>Labels!E9</f>
        <v>Date at which securities can first be converted or exercised to obtain common stock. A date beyond the end of model time indicates that there is no trigger date for conversion of the security.</v>
      </c>
      <c r="BE1" t="s">
        <v>579</v>
      </c>
      <c r="BF1" t="str">
        <f>Labels!B63</f>
        <v>Payout Pool</v>
      </c>
      <c r="BG1" t="s">
        <v>356</v>
      </c>
      <c r="BH1" t="str">
        <f>Labels!E63</f>
        <v>The amount of funds available for payout to each type of security at phase End (after conversion of notes and exercise of warrants and options), in each investment round. The common payout pool covers common shares, including exercised warrants and options.</v>
      </c>
      <c r="BI1" t="s">
        <v>467</v>
      </c>
      <c r="BJ1" t="str">
        <f>Labels!B59</f>
        <v>Payout</v>
      </c>
      <c r="BK1" t="s">
        <v>430</v>
      </c>
      <c r="BL1" t="str">
        <f>Labels!E59</f>
        <v>The amount of funds that would be paid to each type of security if liquidation occurs at the end of an investment round. Warrants and options are exercised if they are in the money. The common payout pool covers common shares, including exercised warrants and options.</v>
      </c>
    </row>
    <row r="2" spans="1:64" ht="12.75" customHeight="1" x14ac:dyDescent="0.2">
      <c r="A2" t="s">
        <v>504</v>
      </c>
      <c r="B2" t="str">
        <f>Labels!B60</f>
        <v>Payout %</v>
      </c>
      <c r="C2" t="s">
        <v>391</v>
      </c>
      <c r="D2" t="str">
        <f>Labels!E60</f>
        <v>The percentage of the entire payout that is paid to each type of security in the final (exit) round</v>
      </c>
      <c r="E2" t="s">
        <v>752</v>
      </c>
      <c r="F2" t="str">
        <f>Labels!B12</f>
        <v>% Converting</v>
      </c>
      <c r="G2" t="s">
        <v>30</v>
      </c>
      <c r="H2" t="str">
        <f>Labels!E12</f>
        <v>Percent of outstanding convertible notes and preferred stock converting; and percent of outstanding warrants and options exercising in each investment round.
The model starts with default decisions for what securities to exercise or convert and when. These default decisions are computed in the variable 'Conversion Decisions Default'.
You can override the default conversion decisions by entering new values.</v>
      </c>
      <c r="I2" t="s">
        <v>241</v>
      </c>
      <c r="J2" t="str">
        <f>Labels!B67</f>
        <v>Conversion Price</v>
      </c>
      <c r="K2" t="s">
        <v>650</v>
      </c>
      <c r="L2" t="str">
        <f>Labels!E67</f>
        <v>Price at which securities convert to common stock in each investment round. Conversion occurs after sale of new securities in each round. Conversion prices in general differ from prices for sale of new securities in an earlier phase.
* Conversion price of notes is common share price less a discount percent specified by the note.
* Conversion price of preferred shares is common share price plus a specified preferred share price premium.
* Conversion price of common shares is the current common share price after completion of sale of new securities</v>
      </c>
      <c r="M2" t="s">
        <v>42</v>
      </c>
      <c r="N2" t="str">
        <f>Labels!B28</f>
        <v>Invest by Origin ex-Dividend</v>
      </c>
      <c r="O2" t="s">
        <v>397</v>
      </c>
      <c r="P2" t="str">
        <f>Labels!E28</f>
        <v>Gross investment including value of converted securities, and excluding preferred dividends and interest payments on notes, segmented by type of security, by investment round</v>
      </c>
      <c r="Q2" t="s">
        <v>153</v>
      </c>
      <c r="R2" t="str">
        <f>Labels!B78</f>
        <v>Net Units</v>
      </c>
      <c r="S2" t="s">
        <v>636</v>
      </c>
      <c r="T2" t="str">
        <f>Labels!E78</f>
        <v>The number of units of each type of security outstanding or transacted at each phase in each investment round. For convertible notes, share numbers are shown as zero. Warrants and options can be exercised for common shares on one-for-one basis. "Net" means net of conversions and exercises.
The transaction phases within each funding round are:
* Start = outstanding securities at the beginning of the round
* New Sales = sales of new securities in the round
* Post Sales = outstanding securities after sale of new securities
* Convert = securities being converted (notes) or exercised (warrants and options)
* End = outstanding securities after conversions are executed, which is the end of the round
Splits occur between rounds, and are included in Start totals.</v>
      </c>
      <c r="U2" t="s">
        <v>709</v>
      </c>
      <c r="V2" t="str">
        <f>Labels!B5</f>
        <v>Company Name</v>
      </c>
      <c r="W2" t="s">
        <v>570</v>
      </c>
      <c r="X2" t="str">
        <f>Labels!E5</f>
        <v>Name of the company</v>
      </c>
      <c r="Y2" t="s">
        <v>191</v>
      </c>
      <c r="Z2" t="str">
        <f>Labels!B48</f>
        <v>Liquidation Preference</v>
      </c>
      <c r="AA2" t="s">
        <v>683</v>
      </c>
      <c r="AB2" t="str">
        <f>Labels!E48</f>
        <v>The amount of liquidiation preference that is due to each class of security (before anything is paid to holders of junior securities, in the event of liquidiation), at the last phase (End) of each round</v>
      </c>
      <c r="AC2" t="s">
        <v>725</v>
      </c>
      <c r="AD2" t="str">
        <f>Labels!B39</f>
        <v>Net Investment</v>
      </c>
      <c r="AE2" t="s">
        <v>608</v>
      </c>
      <c r="AF2" t="str">
        <f>Labels!E39</f>
        <v>Net investment at each phase of each investment round, segmented by type of security. Converted notes and preferred shares and exercised warrants and options are subtracted and added to common stock. Exercise $ amounts for warrants and options are added to Net Investment for common stock.
The phase are:
* Start = outstanding investment in securities at the beginning of the round
* New Sales = new investment in securities in the round
* Post Sales = gross investment in securities after sale of new securities
* Convert = investment value of securities being converted (notes) or exercised (warrants and options)
* End = investments at the end of the round (with converted and exercised securties recorded as common stock)</v>
      </c>
      <c r="AG2" t="s">
        <v>649</v>
      </c>
      <c r="AH2" t="str">
        <f>Labels!B42</f>
        <v>New Investment</v>
      </c>
      <c r="AI2" t="s">
        <v>554</v>
      </c>
      <c r="AJ2" t="str">
        <f>Labels!E42</f>
        <v>New investments due to sale of new convertible notes, preferred and common shares, by investment round. New warrants and options are tracked in variable Shares_New because they are specified by number of new shares, not new investment.</v>
      </c>
      <c r="AK2" t="s">
        <v>163</v>
      </c>
      <c r="AL2" t="str">
        <f>Labels!B79</f>
        <v>New Units Sold</v>
      </c>
      <c r="AM2" t="s">
        <v>699</v>
      </c>
      <c r="AN2" t="str">
        <f>Labels!E79</f>
        <v>Numbers of new warrants and options sold, by investment round. Sales of new convertible notes, preferred stock and common stock are input as new investment, from which new shares are computed.</v>
      </c>
      <c r="AO2" t="s">
        <v>61</v>
      </c>
      <c r="AP2" t="str">
        <f>Labels!B52</f>
        <v>Exercise Amt</v>
      </c>
      <c r="AQ2" t="s">
        <v>34</v>
      </c>
      <c r="AR2" t="str">
        <f>Labels!E52</f>
        <v>The amount of exercise payments due upon exercise of outstanding warrants and options. For Phase Convert, the amount of exercise payments made to exercise warrants and options in each round.</v>
      </c>
      <c r="AS2" t="s">
        <v>245</v>
      </c>
      <c r="AT2" t="str">
        <f>Labels!B53</f>
        <v>Exercise Price</v>
      </c>
      <c r="AU2" t="s">
        <v>420</v>
      </c>
      <c r="AV2" t="str">
        <f>Labels!E53</f>
        <v>Exercise price for each class of stock option. Upon exercise of a warrant or option, the holder pays the exercise price to the company in cash, which amount is added to Investment by Origin for the warrant or option, and added to Net Investment for common stock.</v>
      </c>
      <c r="AW2" t="s">
        <v>632</v>
      </c>
      <c r="AX2" t="str">
        <f>Labels!B68</f>
        <v>Price New Unit</v>
      </c>
      <c r="AY2" t="s">
        <v>601</v>
      </c>
      <c r="AZ2" t="str">
        <f>Labels!E68</f>
        <v>Price at which new warrants and options are purchased. Warrant and option prices are based on current stock price, ignoring the variance of stock price over time.</v>
      </c>
      <c r="BA2" t="s">
        <v>119</v>
      </c>
      <c r="BB2" t="str">
        <f>Labels!B69</f>
        <v>New Unit Price %</v>
      </c>
      <c r="BC2" t="s">
        <v>434</v>
      </c>
      <c r="BD2" t="str">
        <f>Labels!E69</f>
        <v>Ratio (price at which new units are purchased) / (common share price - exercise price).</v>
      </c>
      <c r="BE2" t="s">
        <v>283</v>
      </c>
      <c r="BF2" t="str">
        <f>Labels!B11</f>
        <v>Trigger Value %</v>
      </c>
      <c r="BG2" t="s">
        <v>142</v>
      </c>
      <c r="BH2" t="str">
        <f>Labels!E11</f>
        <v>Maximum fraction of the value of a firm that can be in senior securities in order that a series of convertible securities converts. (Other conversion criteria involve dates and minimum equity funding raised by the company.)</v>
      </c>
      <c r="BI2" t="s">
        <v>789</v>
      </c>
      <c r="BJ2" t="str">
        <f>Labels!B66</f>
        <v>Price Premium %</v>
      </c>
      <c r="BK2" t="s">
        <v>388</v>
      </c>
      <c r="BL2" t="str">
        <f>Labels!E66</f>
        <v>Price premium for a preferred share unit over common stock at time of purchase. The premium reflects the contingent value of preference payments and preference dividends.</v>
      </c>
    </row>
    <row r="3" spans="1:64" ht="12.75" customHeight="1" x14ac:dyDescent="0.2">
      <c r="A3" t="s">
        <v>432</v>
      </c>
      <c r="B3" t="str">
        <f>Labels!B76</f>
        <v>Common Shares by Origin</v>
      </c>
      <c r="C3" t="s">
        <v>372</v>
      </c>
      <c r="D3" t="str">
        <f>Labels!E76</f>
        <v>Number of common shares that originated from conversion or exercise of each type of security or sale of common shares, recorded at the end of each investment round</v>
      </c>
      <c r="E3" t="s">
        <v>269</v>
      </c>
      <c r="F3" t="str">
        <f>Labels!B55</f>
        <v>Payout by Origin</v>
      </c>
      <c r="G3" t="s">
        <v>707</v>
      </c>
      <c r="H3" t="str">
        <f>Labels!E55</f>
        <v>Funds paid out that are imputed (if paid) to original investments in each type of security, at the end of each investment round. Warrants and options are exercised if they are in the money. The common payout pool covers common shares, including exercised warrants and options.</v>
      </c>
      <c r="I3" t="s">
        <v>254</v>
      </c>
      <c r="J3" t="str">
        <f>Labels!B57</f>
        <v>Payout by Origin %</v>
      </c>
      <c r="K3" t="s">
        <v>400</v>
      </c>
      <c r="L3" t="str">
        <f>Labels!E57</f>
        <v>The percentage of funds paid out that are imputed (if paid) to original investments in each type of security, at the end of each investment round. Warrants and options are exercised if they are in the money. The common payout pool covers common shares, including exercised warrants and options.</v>
      </c>
      <c r="M3" t="s">
        <v>344</v>
      </c>
      <c r="N3" t="str">
        <f>Labels!B54</f>
        <v>Units 'in the Money'</v>
      </c>
      <c r="O3" t="s">
        <v>121</v>
      </c>
      <c r="P3" t="str">
        <f>Labels!E54</f>
        <v>Number of unexercised warrants and options that are in the money in phase End, for each investment round. Used in variable Payout in denominators of formulas.</v>
      </c>
      <c r="Q3" t="s">
        <v>64</v>
      </c>
      <c r="R3" t="str">
        <f>Labels!B18</f>
        <v>Dividend Common</v>
      </c>
      <c r="S3" t="s">
        <v>264</v>
      </c>
      <c r="T3" t="str">
        <f>Labels!E18</f>
        <v>Dividend paid on common stock, paid at the beginning of each investment round</v>
      </c>
      <c r="U3" t="s">
        <v>278</v>
      </c>
      <c r="V3" t="str">
        <f>Labels!B16</f>
        <v>Dividend by Origin</v>
      </c>
      <c r="W3" t="s">
        <v>13</v>
      </c>
      <c r="X3" t="str">
        <f>Labels!E16</f>
        <v>Dividend in kind for convertible notes (before conversion), preferred stock (before conversion), and common stock, paid at start of each investment round. The dividends are segmented by the original type and series of security whose purchase earned the dividend (not by the current type and series of security that earned the dividend).</v>
      </c>
      <c r="Y3" t="s">
        <v>207</v>
      </c>
      <c r="Z3" t="str">
        <f>Labels!B44</f>
        <v>Cash Flow</v>
      </c>
      <c r="AA3" t="s">
        <v>630</v>
      </c>
      <c r="AB3" t="str">
        <f>Labels!E44</f>
        <v>Cash flows used to compute present values and internal rates of return for each series and type of security. Includes founders non-cash contributions in the first round and payouts in the last round.</v>
      </c>
      <c r="AC3" t="s">
        <v>41</v>
      </c>
      <c r="AD3" t="str">
        <f>Labels!B14</f>
        <v>Discount Rate (Yr)</v>
      </c>
      <c r="AE3" t="s">
        <v>812</v>
      </c>
      <c r="AF3" t="str">
        <f>Labels!E14</f>
        <v>Annualized discount rates used in computation of present values of investor cash flows</v>
      </c>
      <c r="AG3" t="s">
        <v>819</v>
      </c>
      <c r="AH3" t="str">
        <f>Labels!B51</f>
        <v>Net Present Value</v>
      </c>
      <c r="AI3" t="s">
        <v>823</v>
      </c>
      <c r="AJ3" t="str">
        <f>Labels!E51</f>
        <v>Net present value of cash flows to each series of each type of security. Each series and type of security can have its own discount rate to reflect different risks.</v>
      </c>
      <c r="AK3" t="s">
        <v>652</v>
      </c>
      <c r="AL3" t="str">
        <f>Labels!B46</f>
        <v>IRR (Yr)</v>
      </c>
      <c r="AM3" t="s">
        <v>458</v>
      </c>
      <c r="AN3" t="str">
        <f>Labels!E46</f>
        <v>Internal rate of return of cash flow to holders of each series and type of security. Includes new investments, exercise payments (for warrants and options) and final payout at the end of the last investment round.</v>
      </c>
      <c r="AO3" t="s">
        <v>242</v>
      </c>
      <c r="AP3" t="str">
        <f>Labels!B45</f>
        <v>IRR Initial Guess (Yr)</v>
      </c>
      <c r="AQ3" t="s">
        <v>770</v>
      </c>
      <c r="AR3" t="str">
        <f>Labels!E45</f>
        <v>Initial guess at internal rate of return of the cash flow for holders of each series and type of security, to start the iterative solution for the IRR</v>
      </c>
      <c r="AS3" t="s">
        <v>662</v>
      </c>
      <c r="AT3" t="str">
        <f>Labels!B21</f>
        <v>Event Date</v>
      </c>
      <c r="AU3" t="s">
        <v>0</v>
      </c>
      <c r="AV3" t="str">
        <f>Labels!E21</f>
        <v>Date of each investment round</v>
      </c>
      <c r="AW3" t="s">
        <v>150</v>
      </c>
      <c r="AX3" t="str">
        <f>Labels!B25</f>
        <v>Firm Value</v>
      </c>
      <c r="AY3" t="s">
        <v>128</v>
      </c>
      <c r="AZ3" t="str">
        <f>Labels!E25</f>
        <v>Valuation of the firm at the start of each investment round</v>
      </c>
      <c r="BA3" t="s">
        <v>642</v>
      </c>
      <c r="BB3" t="str">
        <f>Labels!B43</f>
        <v>New Investment</v>
      </c>
      <c r="BC3" t="s">
        <v>729</v>
      </c>
      <c r="BD3" t="str">
        <f>Labels!E43</f>
        <v>New investments due to sale of new convertible notes, preferred and common shares, by investment round; investment scenario 1. New warrants and options are tracked in variable Shares_New because they are specified by number of new shares, not new investment.</v>
      </c>
      <c r="BE3" t="s">
        <v>122</v>
      </c>
      <c r="BF3" t="str">
        <f>Labels!B80</f>
        <v>New Units</v>
      </c>
      <c r="BG3" t="s">
        <v>194</v>
      </c>
      <c r="BH3" t="str">
        <f>Labels!E80</f>
        <v>Numbers of new warrants and options sold, by investment round, for investment scenario 1. Sales of new convertible notes, preferred stock and common stock are input as new investment, from which new shares are computed.</v>
      </c>
      <c r="BI3" t="s">
        <v>288</v>
      </c>
      <c r="BJ3" t="str">
        <f>Labels!B29</f>
        <v>Invest by Origin ex-Div</v>
      </c>
      <c r="BK3" t="s">
        <v>138</v>
      </c>
      <c r="BL3" t="str">
        <f>Labels!E29</f>
        <v>Gross investment including value of converted securities, and excluding preferred dividends and interest payments on notes, segmented by type of security, by investment round</v>
      </c>
    </row>
    <row r="4" spans="1:64" ht="12.75" customHeight="1" x14ac:dyDescent="0.2">
      <c r="A4" t="s">
        <v>712</v>
      </c>
      <c r="B4" t="str">
        <f>Labels!B56</f>
        <v>Payout by Origin</v>
      </c>
      <c r="C4" t="s">
        <v>176</v>
      </c>
      <c r="D4" t="str">
        <f>Labels!E56</f>
        <v>Funds paid out that are imputed (if paid) to original investments in each type of security, at the end of the last investment round. Warrants and options are exercised if they are in the money. The common payout pool covers common shares, including exercised warrants and options.</v>
      </c>
      <c r="E4" t="s">
        <v>730</v>
      </c>
      <c r="F4" t="str">
        <f>Labels!B58</f>
        <v>Payout by Origin %</v>
      </c>
      <c r="G4" t="s">
        <v>99</v>
      </c>
      <c r="H4" t="str">
        <f>Labels!E58</f>
        <v>The percentage of funds paid out that are imputed (if paid) to original investments in each type of security, at the end of the last investment round. Warrants and options are exercised if they are in the money. The common payout pool covers common shares, including exercised warrants and options.</v>
      </c>
      <c r="I4" t="s">
        <v>634</v>
      </c>
      <c r="J4" t="str">
        <f>Labels!B74</f>
        <v>Scenarios_Value_Dim</v>
      </c>
      <c r="K4" t="s">
        <v>281</v>
      </c>
      <c r="L4">
        <f>Labels!E74</f>
        <v>0</v>
      </c>
      <c r="M4" t="s">
        <v>272</v>
      </c>
      <c r="N4" t="str">
        <f>Labels!B73</f>
        <v>Investment Scenarios</v>
      </c>
      <c r="O4" t="s">
        <v>155</v>
      </c>
      <c r="P4">
        <f>Labels!E73</f>
        <v>0</v>
      </c>
      <c r="Q4" t="s">
        <v>83</v>
      </c>
      <c r="R4" t="str">
        <f>Labels!B7</f>
        <v>Conversion Decisions Detail</v>
      </c>
      <c r="S4" t="s">
        <v>395</v>
      </c>
      <c r="T4" t="str">
        <f>Labels!E7</f>
        <v>The default conversion decision for each security is positive (negative) if all these built-in conditions are satisfied (not satisfied).
1) The date of the current round has reached the trigger date
2) The sum of investments in common, preferred and notes exceeds the trigger investment threshhold
3) For notes and preferred: the value of the company exceeds a safety criterion (investment in notes + preferred must be less than a stated fraction of firm value).
4) For notes and preferred: value of commmon shares obtained &gt; (1+premium) * liquidation preference.
5) For warrants and options: common share price &gt;= exercise price.
The cell values have these meanings:
+1: conversion condition is satisfied
0 : conversion condition is not satisfied
-1: means conversion condition is not relevant
You can override these conversion decisions by entering values in variable 'Converting %'.</v>
      </c>
      <c r="U4" t="s">
        <v>698</v>
      </c>
      <c r="V4" t="str">
        <f>Labels!B6</f>
        <v>Default Conversion Decisions</v>
      </c>
      <c r="W4" t="s">
        <v>377</v>
      </c>
      <c r="X4" t="str">
        <f>Labels!E6</f>
        <v>This variable encodes the default conversion decisions for securities. 
+1 means all conversion conditions are satisfied
0 means some conversion condition is not satisfied
This information determines the default values for conversion percents for each security in each round, found in variable 'Convert %'.
You can get detail on which conversion conditions are or are not satisfied in variable 'Conversion Decisions Detail'.</v>
      </c>
      <c r="Y4" t="s">
        <v>190</v>
      </c>
      <c r="Z4" t="str">
        <f>Labels!B8</f>
        <v>Liq Premium %</v>
      </c>
      <c r="AA4" t="s">
        <v>248</v>
      </c>
      <c r="AB4" t="str">
        <f>Labels!E8</f>
        <v>Conversion of securities to common stock must produce this value premium over liquidation preference, in order for the default conversion condition to be satisfied. If &lt; 0, then the company has the right to convert the security to common stock when all the conditions are met.</v>
      </c>
      <c r="AC4" t="s">
        <v>761</v>
      </c>
      <c r="AD4" t="str">
        <f>Labels!B50</f>
        <v>Liq Preference New</v>
      </c>
      <c r="AE4" t="s">
        <v>503</v>
      </c>
      <c r="AF4" t="str">
        <f>Labels!E50</f>
        <v>The amount of new liquidiation preference that is due to each class of security (before anything is paid to holders of junior securities, in the event of liquidiation), at the last phase (End) of each round</v>
      </c>
      <c r="AG4" t="s">
        <v>189</v>
      </c>
      <c r="AH4" t="str">
        <f>Labels!B64</f>
        <v>Payout Pool</v>
      </c>
      <c r="AI4" t="s">
        <v>66</v>
      </c>
      <c r="AJ4" t="str">
        <f>Labels!E64</f>
        <v>The amount of funds available for payout to each type of security at phase End (after conversion of notes and exercise of warrants and options) of the last investment round. The common payout pool covers common shares, including exercised warrants and options.</v>
      </c>
      <c r="AK4" t="s">
        <v>303</v>
      </c>
      <c r="AL4" t="str">
        <f>Labels!B49</f>
        <v>Liq Preference</v>
      </c>
      <c r="AM4" t="s">
        <v>387</v>
      </c>
      <c r="AN4" t="str">
        <f>Labels!E49</f>
        <v>The amount of liquidiation preference that is due to each class of security (before anything is paid to holders of junior securities, in the event of liquidiation), at the last phase (End) of  the last round</v>
      </c>
      <c r="AO4" t="s">
        <v>59</v>
      </c>
      <c r="AP4" t="str">
        <f>Labels!B61</f>
        <v>Payout</v>
      </c>
      <c r="AQ4" t="s">
        <v>720</v>
      </c>
      <c r="AR4" t="str">
        <f>Labels!E61</f>
        <v>The amount of funds that would be paid to each type of security if liquidation occurs at the end of the last investment round. Warrants and options are exercised if they are in the money. The common payout pool covers common shares, including exercised warrants and options.</v>
      </c>
      <c r="AS4" t="s">
        <v>524</v>
      </c>
      <c r="AT4" t="str">
        <f>Labels!B62</f>
        <v>Payout %</v>
      </c>
      <c r="AU4" t="s">
        <v>691</v>
      </c>
      <c r="AV4" t="str">
        <f>Labels!E62</f>
        <v>The percentage of the entire payout that is paid to each type of security in the final (exit) round</v>
      </c>
      <c r="AW4" t="s">
        <v>100</v>
      </c>
      <c r="AX4" t="str">
        <f>Labels!B17</f>
        <v>Dividend by Origin</v>
      </c>
      <c r="AY4" t="s">
        <v>653</v>
      </c>
      <c r="AZ4" t="str">
        <f>Labels!E17</f>
        <v>Dividend in kind for convertible notes (before conversion), preferred stock (before conversion), and common stock, paid at start of lsat investment round. The dividends are segmented by the original type and series of security whose purchase earned the dividend (not by the current type and series of security that earned the dividend).</v>
      </c>
      <c r="BA4" t="s">
        <v>490</v>
      </c>
      <c r="BB4" t="str">
        <f>Labels!B41</f>
        <v>Net New Invest</v>
      </c>
      <c r="BC4" t="s">
        <v>9</v>
      </c>
      <c r="BD4" t="str">
        <f>Labels!E41</f>
        <v>Net new investment in each investment round, segmented by type of security. Used in plots.</v>
      </c>
      <c r="BE4" t="s">
        <v>633</v>
      </c>
      <c r="BF4" t="str">
        <f>Labels!B40</f>
        <v>Net Investment</v>
      </c>
      <c r="BG4" t="s">
        <v>544</v>
      </c>
      <c r="BH4" t="str">
        <f>Labels!E40</f>
        <v>Net investment at the end of each investment round, segmented by type of security. Used in plots.</v>
      </c>
      <c r="BI4" t="s">
        <v>10</v>
      </c>
      <c r="BJ4" t="str">
        <f>Labels!B72</f>
        <v>Rounds</v>
      </c>
      <c r="BK4" t="s">
        <v>778</v>
      </c>
      <c r="BL4" t="str">
        <f>Labels!E72</f>
        <v>Investment rounds, used for plotting</v>
      </c>
    </row>
    <row r="5" spans="1:64" ht="12.75" customHeight="1" x14ac:dyDescent="0.2">
      <c r="A5" t="s">
        <v>589</v>
      </c>
      <c r="B5" t="str">
        <f>Labels!B75</f>
        <v>Securities</v>
      </c>
      <c r="C5" t="s">
        <v>718</v>
      </c>
      <c r="D5" t="str">
        <f>Labels!E75</f>
        <v>Types of securities, used for plotting</v>
      </c>
      <c r="E5" t="s">
        <v>688</v>
      </c>
      <c r="F5" t="str">
        <f>Labels!B23</f>
        <v>Firm Value</v>
      </c>
      <c r="G5" t="s">
        <v>470</v>
      </c>
      <c r="H5" t="str">
        <f>Labels!E23</f>
        <v>Firm value at End of each investment round. Used in plotting.</v>
      </c>
      <c r="I5" t="s">
        <v>558</v>
      </c>
      <c r="J5" t="str">
        <f>Labels!B27</f>
        <v>Invest by Origin Conv Notes</v>
      </c>
      <c r="K5" t="s">
        <v>643</v>
      </c>
      <c r="L5" t="str">
        <f>Labels!E27</f>
        <v>Cumulative gross investment in convertible notes, for each investment round. Used for plotting.</v>
      </c>
      <c r="M5" t="s">
        <v>232</v>
      </c>
      <c r="N5" t="str">
        <f>Labels!B31</f>
        <v>Invest by Origin Preferred</v>
      </c>
      <c r="O5" t="s">
        <v>65</v>
      </c>
      <c r="P5" t="str">
        <f>Labels!E31</f>
        <v>Cumulative gross investment in preferred stock, for each investment round. Includes dividends. Used for plotting.</v>
      </c>
      <c r="Q5" t="s">
        <v>419</v>
      </c>
      <c r="R5" t="str">
        <f>Labels!B26</f>
        <v>Invest by Origin Common</v>
      </c>
      <c r="S5" t="s">
        <v>210</v>
      </c>
      <c r="T5" t="str">
        <f>Labels!E26</f>
        <v>Cumulative gross investment in common stock, for each investment round. Includes dividends. Used for plotting.</v>
      </c>
      <c r="U5" t="s">
        <v>48</v>
      </c>
      <c r="V5" t="str">
        <f>Labels!B32</f>
        <v>Invest by Origin Warrants</v>
      </c>
      <c r="W5" t="s">
        <v>655</v>
      </c>
      <c r="X5" t="str">
        <f>Labels!E32</f>
        <v>Cumulative gross investment in warrants, for each investment round. Used for plotting.</v>
      </c>
      <c r="Y5" t="s">
        <v>62</v>
      </c>
      <c r="Z5" t="str">
        <f>Labels!B30</f>
        <v>Invest by Origin Options</v>
      </c>
      <c r="AA5" t="s">
        <v>409</v>
      </c>
      <c r="AB5" t="str">
        <f>Labels!E30</f>
        <v>Cumulative gross investment in options, for each investment round. Used for plotting.</v>
      </c>
      <c r="AC5" t="s">
        <v>783</v>
      </c>
      <c r="AD5" t="str">
        <f>Labels!B33</f>
        <v>Invest End of Round Common</v>
      </c>
      <c r="AE5" t="s">
        <v>797</v>
      </c>
      <c r="AF5" t="str">
        <f>Labels!E33</f>
        <v>Cumulative gross investment in common stock held at the end of each investment round. Includes dividends. Used for plotting.</v>
      </c>
      <c r="AG5" t="s">
        <v>663</v>
      </c>
      <c r="AH5" t="str">
        <f>Labels!B34</f>
        <v>Invest End Round Notes</v>
      </c>
      <c r="AI5" t="s">
        <v>382</v>
      </c>
      <c r="AJ5" t="str">
        <f>Labels!E34</f>
        <v>Cumulative gross investment held in convertible notes, for each investment round. Used for plotting.</v>
      </c>
      <c r="AK5" t="s">
        <v>587</v>
      </c>
      <c r="AL5" t="str">
        <f>Labels!B35</f>
        <v>Invest End Round Options</v>
      </c>
      <c r="AM5" t="s">
        <v>5</v>
      </c>
      <c r="AN5" t="str">
        <f>Labels!E35</f>
        <v>Cumulative gross investment in options held at the end of each investment round. Used for plotting.</v>
      </c>
      <c r="AO5" t="s">
        <v>250</v>
      </c>
      <c r="AP5" t="str">
        <f>Labels!B36</f>
        <v>Invest End Round Preferred</v>
      </c>
      <c r="AQ5" t="s">
        <v>791</v>
      </c>
      <c r="AR5" t="str">
        <f>Labels!E36</f>
        <v>Cumulative gross investment held in preferred stock at the end of each investment round. Includes dividends. Used for plotting.</v>
      </c>
      <c r="AS5" t="s">
        <v>748</v>
      </c>
      <c r="AT5" t="str">
        <f>Labels!B37</f>
        <v>Invest End Round Warrants</v>
      </c>
      <c r="AU5" t="s">
        <v>696</v>
      </c>
      <c r="AV5" t="str">
        <f>Labels!E37</f>
        <v>Cumulative gross investment held in warrants at the end of each investment round. Includes dividends. Used for plotting.</v>
      </c>
      <c r="AW5" t="s">
        <v>682</v>
      </c>
      <c r="AX5" t="str">
        <f>Labels!E102</f>
        <v>The types of securities and the series within each type.
* A convertible note is a loan that is convertible to common stock subject to certain restrictions of time and circumstances.
* Preferred stock is equity that has preference rights over common stock in payouts from the company, usually accrues a dividend in each time period, may be convertible to common stock under some circumstances, and may have preferential voting rights.
* A warrant is an option that is issued by and guaranteed by the company (whereas options are not so guaranteed)
* An option means a "call option" to buy one share of common stock at a fixed "exercise price" before the end of life of the option.
You can add new types of securities and new rounds in ModelSheet, but not in exported spreadsheets.</v>
      </c>
      <c r="AY5" t="s">
        <v>203</v>
      </c>
      <c r="AZ5" t="str">
        <f>Labels!B102</f>
        <v>Securities</v>
      </c>
      <c r="BA5" t="s">
        <v>586</v>
      </c>
      <c r="BB5" t="str">
        <f>Labels!D102</f>
        <v>Security</v>
      </c>
      <c r="BC5" t="s">
        <v>96</v>
      </c>
      <c r="BD5" t="str">
        <f>Labels!C102</f>
        <v>Total</v>
      </c>
      <c r="BE5" t="s">
        <v>216</v>
      </c>
      <c r="BF5" t="str">
        <f>Labels!B103</f>
        <v>Conv Note</v>
      </c>
      <c r="BG5" t="s">
        <v>597</v>
      </c>
      <c r="BH5" t="str">
        <f>Labels!D103</f>
        <v>Security</v>
      </c>
      <c r="BI5" t="s">
        <v>548</v>
      </c>
      <c r="BJ5" t="str">
        <f>Labels!C103</f>
        <v>Subtotal</v>
      </c>
      <c r="BK5" t="s">
        <v>463</v>
      </c>
      <c r="BL5" t="str">
        <f>Labels!B104</f>
        <v>Series B</v>
      </c>
    </row>
    <row r="6" spans="1:64" ht="12.75" customHeight="1" x14ac:dyDescent="0.2">
      <c r="A6" t="s">
        <v>16</v>
      </c>
      <c r="B6" t="str">
        <f>Labels!D104</f>
        <v>Security 2</v>
      </c>
      <c r="C6" t="s">
        <v>234</v>
      </c>
      <c r="D6" t="str">
        <f>Labels!B105</f>
        <v>Series A</v>
      </c>
      <c r="E6" t="s">
        <v>669</v>
      </c>
      <c r="F6" t="str">
        <f>Labels!B106</f>
        <v>Preferred</v>
      </c>
      <c r="G6" t="s">
        <v>732</v>
      </c>
      <c r="H6" t="str">
        <f>Labels!C106</f>
        <v>Subtotal</v>
      </c>
      <c r="I6" t="s">
        <v>86</v>
      </c>
      <c r="J6" t="str">
        <f>Labels!B107</f>
        <v>Series A</v>
      </c>
      <c r="K6" t="s">
        <v>398</v>
      </c>
      <c r="L6" t="str">
        <f>Labels!B108</f>
        <v>Common</v>
      </c>
      <c r="M6" t="s">
        <v>445</v>
      </c>
      <c r="N6" t="str">
        <f>Labels!B109</f>
        <v>Warrant</v>
      </c>
      <c r="O6" t="s">
        <v>822</v>
      </c>
      <c r="P6" t="str">
        <f>Labels!B110</f>
        <v>Option</v>
      </c>
      <c r="Q6" t="s">
        <v>370</v>
      </c>
      <c r="R6" t="str">
        <f>Labels!C110</f>
        <v>Subtotal</v>
      </c>
      <c r="S6" t="s">
        <v>71</v>
      </c>
      <c r="T6" t="str">
        <f>Labels!B111</f>
        <v>Series B</v>
      </c>
      <c r="U6" t="s">
        <v>301</v>
      </c>
      <c r="V6" t="str">
        <f>Labels!B112</f>
        <v>Series A</v>
      </c>
      <c r="W6" t="s">
        <v>538</v>
      </c>
      <c r="X6" t="str">
        <f>Labels!E90</f>
        <v>The transaction phases within each funding round. The phases are: 
* Start = outstanding securities at the beginning of the round
* New Sales = sales of new securities in the round
* Post Sales = outstanding securities after sale of new securities
* Convert = securities being converted (notes) or exercised (warrants and options)
* End = outstanding securities after conversions are executed, which is the end of the round
Dividends are paid and splits occur between rounds, and are included in Start totals.</v>
      </c>
      <c r="Y6" t="s">
        <v>46</v>
      </c>
      <c r="Z6" t="str">
        <f>Labels!B90</f>
        <v>Phases</v>
      </c>
      <c r="AA6" t="s">
        <v>284</v>
      </c>
      <c r="AB6" t="str">
        <f>Labels!D90</f>
        <v>Phase</v>
      </c>
      <c r="AC6" t="s">
        <v>710</v>
      </c>
      <c r="AD6" t="str">
        <f>Labels!C90</f>
        <v>Total</v>
      </c>
      <c r="AE6" t="s">
        <v>452</v>
      </c>
      <c r="AF6" t="str">
        <f>Labels!B91</f>
        <v>Start</v>
      </c>
      <c r="AG6" t="s">
        <v>626</v>
      </c>
      <c r="AH6" t="str">
        <f>Labels!D91</f>
        <v>Phase</v>
      </c>
      <c r="AI6" t="s">
        <v>450</v>
      </c>
      <c r="AJ6" t="str">
        <f>Labels!B92</f>
        <v>New Sales</v>
      </c>
      <c r="AK6" t="s">
        <v>716</v>
      </c>
      <c r="AL6" t="str">
        <f>Labels!B93</f>
        <v>Post Sales</v>
      </c>
      <c r="AM6" t="s">
        <v>417</v>
      </c>
      <c r="AN6" t="str">
        <f>Labels!B94</f>
        <v>Convert</v>
      </c>
      <c r="AO6" t="s">
        <v>530</v>
      </c>
      <c r="AP6" t="str">
        <f>Labels!B95</f>
        <v>End</v>
      </c>
      <c r="AQ6" t="s">
        <v>214</v>
      </c>
      <c r="AR6" t="str">
        <f>Labels!E97</f>
        <v>A list of the funding rounds</v>
      </c>
      <c r="AS6" t="s">
        <v>268</v>
      </c>
      <c r="AT6" t="str">
        <f>Labels!B97</f>
        <v>Rounds</v>
      </c>
      <c r="AU6" t="s">
        <v>208</v>
      </c>
      <c r="AV6" t="str">
        <f>Labels!D97</f>
        <v>Rounds</v>
      </c>
      <c r="AW6" t="s">
        <v>123</v>
      </c>
      <c r="AX6" t="str">
        <f>Labels!C97</f>
        <v>Total</v>
      </c>
      <c r="AY6" t="s">
        <v>345</v>
      </c>
      <c r="AZ6" t="str">
        <f>Labels!B98</f>
        <v>Seed</v>
      </c>
      <c r="BA6" t="s">
        <v>414</v>
      </c>
      <c r="BB6" t="str">
        <f>Labels!D98</f>
        <v>Rounds</v>
      </c>
      <c r="BC6" t="s">
        <v>764</v>
      </c>
      <c r="BD6" t="str">
        <f>Labels!B99</f>
        <v>Round A</v>
      </c>
      <c r="BE6" t="s">
        <v>684</v>
      </c>
      <c r="BF6" t="str">
        <f>Labels!B100</f>
        <v>Exit</v>
      </c>
      <c r="BG6" t="s">
        <v>775</v>
      </c>
      <c r="BH6" t="str">
        <f>Labels!E83</f>
        <v xml:space="preserve">The default conversion decision for each security is positive (negative) if all these built-in conditions are satisfied (not satisfied).
1) The date of the current round has reached the trigger date
2) The sum of investments in common, preferred and notes exceeds the trigger investment threshhold
3) For notes and preferred: the value of the company exceeds a safety criterion (investment in notes + preferred must be less than a stated fraction of firm value).
4) For notes and preferred: value of commmon shares obtained &gt; (1+premium) * liquidation preference.
5) For warrants and options: common share price &gt;= exercise price.
</v>
      </c>
      <c r="BI6" t="s">
        <v>274</v>
      </c>
      <c r="BJ6" t="str">
        <f>Labels!B83</f>
        <v>Convert Conditions</v>
      </c>
      <c r="BK6" t="s">
        <v>385</v>
      </c>
      <c r="BL6" t="str">
        <f>Labels!D83</f>
        <v>Convert_Conditions</v>
      </c>
    </row>
    <row r="7" spans="1:64" ht="12.75" customHeight="1" x14ac:dyDescent="0.2">
      <c r="A7" t="s">
        <v>38</v>
      </c>
      <c r="B7" t="str">
        <f>Labels!C83</f>
        <v>Total</v>
      </c>
      <c r="C7" t="s">
        <v>423</v>
      </c>
      <c r="D7" t="str">
        <f>Labels!B84</f>
        <v>Trigger Date</v>
      </c>
      <c r="E7" t="s">
        <v>322</v>
      </c>
      <c r="F7" t="str">
        <f>Labels!D84</f>
        <v>Convert_Conditions</v>
      </c>
      <c r="G7" t="s">
        <v>616</v>
      </c>
      <c r="H7" t="str">
        <f>Labels!B85</f>
        <v>Trigger Invest</v>
      </c>
      <c r="I7" t="s">
        <v>800</v>
      </c>
      <c r="J7" t="str">
        <f>Labels!B86</f>
        <v>Trigger Value %</v>
      </c>
      <c r="K7" t="s">
        <v>257</v>
      </c>
      <c r="L7" t="str">
        <f>Labels!B87</f>
        <v>Liquidation</v>
      </c>
      <c r="M7" t="s">
        <v>422</v>
      </c>
      <c r="N7" t="str">
        <f>Labels!B88</f>
        <v>Trigger Price</v>
      </c>
    </row>
    <row r="8" spans="1:64" ht="12.75" customHeight="1" x14ac:dyDescent="0.2">
      <c r="A8" t="s">
        <v>514</v>
      </c>
      <c r="B8">
        <f>Graphs!A1</f>
        <v>0</v>
      </c>
      <c r="C8" t="s">
        <v>98</v>
      </c>
      <c r="D8" t="str">
        <f>Inputs!A1</f>
        <v>Capitalization Table</v>
      </c>
      <c r="E8" t="s">
        <v>98</v>
      </c>
      <c r="F8" t="str">
        <f>Investment!A1</f>
        <v>Capitalization Table</v>
      </c>
      <c r="G8" t="s">
        <v>98</v>
      </c>
      <c r="H8" t="str">
        <f>Shares!A1</f>
        <v>Capitalization Table</v>
      </c>
      <c r="I8" t="s">
        <v>98</v>
      </c>
      <c r="J8" t="str">
        <f>Conversion!A1</f>
        <v>Capitalization Table</v>
      </c>
      <c r="K8" t="s">
        <v>98</v>
      </c>
      <c r="L8" t="str">
        <f>Prices!A1</f>
        <v>Capitalization Table</v>
      </c>
      <c r="M8" t="s">
        <v>98</v>
      </c>
      <c r="N8" t="str">
        <f>Options!A1</f>
        <v>Capitalization Table</v>
      </c>
      <c r="O8" t="s">
        <v>98</v>
      </c>
      <c r="P8" t="str">
        <f>Valuation!A1</f>
        <v>Capitalization Table</v>
      </c>
      <c r="Q8" t="s">
        <v>98</v>
      </c>
      <c r="R8" t="str">
        <f>Payout!A1</f>
        <v>Capitalization Table</v>
      </c>
      <c r="S8" t="s">
        <v>98</v>
      </c>
      <c r="T8" t="str">
        <f>Formulas!A1</f>
        <v>Capitalization Table</v>
      </c>
      <c r="U8" t="s">
        <v>98</v>
      </c>
      <c r="V8" t="str">
        <f>Boneyard!A1</f>
        <v>Capitalization Table</v>
      </c>
      <c r="W8" t="s">
        <v>98</v>
      </c>
      <c r="X8" t="str">
        <f>'Plot Support'!A1</f>
        <v>Capitalization Table</v>
      </c>
      <c r="Y8" t="s">
        <v>98</v>
      </c>
      <c r="Z8" t="str">
        <f>'(FnCalls 1)'!A1</f>
        <v>Capitalization Table</v>
      </c>
      <c r="AA8" t="s">
        <v>98</v>
      </c>
      <c r="AB8" t="str">
        <f>'(Other Variables)'!A1</f>
        <v>Capitalization Table</v>
      </c>
      <c r="AC8" t="s">
        <v>98</v>
      </c>
      <c r="AD8" t="str">
        <f>Labels!A1</f>
        <v>Capitalization Table</v>
      </c>
      <c r="AE8" t="s">
        <v>98</v>
      </c>
      <c r="AF8">
        <f>'(Ranges)'!A1</f>
        <v>0</v>
      </c>
      <c r="AG8" t="s">
        <v>98</v>
      </c>
      <c r="AH8" t="str">
        <f>'(Import)'!A1</f>
        <v>:A:0:Price_Unit_Start</v>
      </c>
    </row>
    <row r="9" spans="1:64" ht="12.75" customHeight="1" x14ac:dyDescent="0.2">
      <c r="A9" t="s">
        <v>115</v>
      </c>
      <c r="B9" t="str">
        <f>Inputs!B8</f>
        <v>ABC Corp.</v>
      </c>
      <c r="C9" t="s">
        <v>795</v>
      </c>
      <c r="D9">
        <f>Inputs!B14</f>
        <v>40391</v>
      </c>
      <c r="E9" t="s">
        <v>588</v>
      </c>
      <c r="F9">
        <f>Inputs!C14</f>
        <v>40725</v>
      </c>
      <c r="G9" t="s">
        <v>26</v>
      </c>
      <c r="H9">
        <f>Inputs!D14</f>
        <v>41061</v>
      </c>
      <c r="I9" t="s">
        <v>371</v>
      </c>
      <c r="J9">
        <f>Inputs!B23</f>
        <v>0.3</v>
      </c>
      <c r="K9" t="s">
        <v>160</v>
      </c>
      <c r="L9">
        <f>Inputs!C23</f>
        <v>1</v>
      </c>
      <c r="M9" t="s">
        <v>479</v>
      </c>
      <c r="N9">
        <f>Inputs!D23</f>
        <v>0.04</v>
      </c>
      <c r="O9" t="s">
        <v>454</v>
      </c>
      <c r="P9">
        <f>Inputs!B24</f>
        <v>0.3</v>
      </c>
      <c r="Q9" t="s">
        <v>618</v>
      </c>
      <c r="R9">
        <f>Inputs!C24</f>
        <v>1</v>
      </c>
      <c r="S9" t="s">
        <v>624</v>
      </c>
      <c r="T9">
        <f>Inputs!D24</f>
        <v>0.04</v>
      </c>
      <c r="U9" t="s">
        <v>460</v>
      </c>
      <c r="V9">
        <f>Inputs!B28</f>
        <v>40634</v>
      </c>
      <c r="W9" t="s">
        <v>664</v>
      </c>
      <c r="X9">
        <f>Inputs!C28</f>
        <v>1000000</v>
      </c>
      <c r="Y9" t="s">
        <v>456</v>
      </c>
      <c r="Z9">
        <f>Inputs!D28</f>
        <v>0.5</v>
      </c>
      <c r="AA9" t="s">
        <v>263</v>
      </c>
      <c r="AB9">
        <f>Inputs!E28</f>
        <v>0.2</v>
      </c>
      <c r="AC9" t="s">
        <v>181</v>
      </c>
      <c r="AD9">
        <f>Inputs!B29</f>
        <v>40634</v>
      </c>
      <c r="AE9" t="s">
        <v>126</v>
      </c>
      <c r="AF9">
        <f>Inputs!C29</f>
        <v>1000000</v>
      </c>
      <c r="AG9" t="s">
        <v>198</v>
      </c>
      <c r="AH9">
        <f>Inputs!D29</f>
        <v>0.5</v>
      </c>
      <c r="AI9" t="s">
        <v>545</v>
      </c>
      <c r="AJ9">
        <f>Inputs!E29</f>
        <v>0.2</v>
      </c>
      <c r="AK9" t="s">
        <v>239</v>
      </c>
      <c r="AL9">
        <f>Inputs!B33</f>
        <v>0.3</v>
      </c>
      <c r="AM9" t="s">
        <v>527</v>
      </c>
      <c r="AN9">
        <f>Inputs!C33</f>
        <v>0.5</v>
      </c>
      <c r="AO9" t="s">
        <v>307</v>
      </c>
      <c r="AP9">
        <f>Inputs!B34</f>
        <v>0.3</v>
      </c>
      <c r="AQ9" t="s">
        <v>266</v>
      </c>
      <c r="AR9">
        <f>Inputs!C34</f>
        <v>0.5</v>
      </c>
      <c r="AS9" t="s">
        <v>172</v>
      </c>
      <c r="AT9">
        <f>Inputs!B38</f>
        <v>0</v>
      </c>
      <c r="AU9" t="s">
        <v>187</v>
      </c>
      <c r="AV9">
        <f>Inputs!C38</f>
        <v>0</v>
      </c>
      <c r="AW9" t="s">
        <v>461</v>
      </c>
      <c r="AX9">
        <f>Inputs!D38</f>
        <v>0</v>
      </c>
      <c r="AY9" t="s">
        <v>276</v>
      </c>
      <c r="AZ9">
        <f>Inputs!B39</f>
        <v>0</v>
      </c>
      <c r="BA9" t="s">
        <v>364</v>
      </c>
      <c r="BB9">
        <f>Inputs!C39</f>
        <v>0</v>
      </c>
      <c r="BC9" t="s">
        <v>598</v>
      </c>
      <c r="BD9">
        <f>Inputs!D39</f>
        <v>0</v>
      </c>
      <c r="BE9" t="s">
        <v>802</v>
      </c>
      <c r="BF9">
        <f>Inputs!B50</f>
        <v>0.1</v>
      </c>
      <c r="BG9" t="s">
        <v>402</v>
      </c>
      <c r="BH9">
        <f>Inputs!C50</f>
        <v>0.1</v>
      </c>
      <c r="BI9" t="s">
        <v>681</v>
      </c>
      <c r="BJ9">
        <f>Inputs!D50</f>
        <v>0.1</v>
      </c>
      <c r="BK9" t="s">
        <v>132</v>
      </c>
      <c r="BL9">
        <f>Inputs!B53</f>
        <v>1</v>
      </c>
    </row>
    <row r="10" spans="1:64" ht="12.75" customHeight="1" x14ac:dyDescent="0.2">
      <c r="A10" t="s">
        <v>658</v>
      </c>
      <c r="B10">
        <f>Inputs!C53</f>
        <v>0.06</v>
      </c>
      <c r="C10" t="s">
        <v>497</v>
      </c>
      <c r="D10">
        <f>Inputs!B57</f>
        <v>40634</v>
      </c>
      <c r="E10" t="s">
        <v>184</v>
      </c>
      <c r="F10">
        <f>Inputs!C57</f>
        <v>1500000</v>
      </c>
      <c r="G10" t="s">
        <v>14</v>
      </c>
      <c r="H10">
        <f>Inputs!D57</f>
        <v>0.5</v>
      </c>
      <c r="I10" t="s">
        <v>358</v>
      </c>
      <c r="J10">
        <f>Inputs!E57</f>
        <v>-0.2</v>
      </c>
      <c r="K10" t="s">
        <v>731</v>
      </c>
      <c r="L10">
        <f>Inputs!B61</f>
        <v>0.3</v>
      </c>
      <c r="M10" t="s">
        <v>654</v>
      </c>
      <c r="N10">
        <f>Inputs!C61</f>
        <v>0.5</v>
      </c>
      <c r="O10" t="s">
        <v>127</v>
      </c>
      <c r="P10">
        <f>Inputs!B65</f>
        <v>0</v>
      </c>
      <c r="Q10" t="s">
        <v>308</v>
      </c>
      <c r="R10">
        <f>Inputs!C65</f>
        <v>0</v>
      </c>
      <c r="S10" t="s">
        <v>94</v>
      </c>
      <c r="T10">
        <f>Inputs!D65</f>
        <v>0</v>
      </c>
      <c r="U10" t="s">
        <v>91</v>
      </c>
      <c r="V10">
        <f>Inputs!B71</f>
        <v>1</v>
      </c>
      <c r="W10" t="s">
        <v>607</v>
      </c>
      <c r="X10">
        <f>Inputs!B74</f>
        <v>1</v>
      </c>
      <c r="Y10" t="s">
        <v>350</v>
      </c>
      <c r="Z10">
        <f>Inputs!C74</f>
        <v>1</v>
      </c>
      <c r="AA10" t="s">
        <v>619</v>
      </c>
      <c r="AB10">
        <f>Inputs!D74</f>
        <v>1</v>
      </c>
      <c r="AC10" t="s">
        <v>805</v>
      </c>
      <c r="AD10">
        <f>Inputs!B76</f>
        <v>0</v>
      </c>
      <c r="AE10" t="s">
        <v>546</v>
      </c>
      <c r="AF10">
        <f>Inputs!C76</f>
        <v>0</v>
      </c>
      <c r="AG10" t="s">
        <v>621</v>
      </c>
      <c r="AH10">
        <f>Inputs!D76</f>
        <v>0</v>
      </c>
      <c r="AI10" t="s">
        <v>687</v>
      </c>
      <c r="AJ10">
        <f>Inputs!B80</f>
        <v>0.3</v>
      </c>
      <c r="AK10" t="s">
        <v>373</v>
      </c>
      <c r="AL10">
        <f>Inputs!C80</f>
        <v>0.5</v>
      </c>
      <c r="AM10" t="s">
        <v>28</v>
      </c>
      <c r="AN10">
        <f>Inputs!B83</f>
        <v>1</v>
      </c>
      <c r="AO10" t="s">
        <v>610</v>
      </c>
      <c r="AP10">
        <f>Inputs!C83</f>
        <v>0</v>
      </c>
      <c r="AQ10" t="s">
        <v>273</v>
      </c>
      <c r="AR10">
        <f>Inputs!D83</f>
        <v>0</v>
      </c>
      <c r="AS10" t="s">
        <v>635</v>
      </c>
      <c r="AT10">
        <f>Inputs!B91</f>
        <v>1</v>
      </c>
      <c r="AU10" t="s">
        <v>429</v>
      </c>
      <c r="AV10">
        <f>Inputs!B92</f>
        <v>1</v>
      </c>
      <c r="AW10" t="s">
        <v>209</v>
      </c>
      <c r="AX10">
        <f>Inputs!B96</f>
        <v>1</v>
      </c>
      <c r="AY10" t="s">
        <v>476</v>
      </c>
      <c r="AZ10">
        <f>Inputs!C96</f>
        <v>1000000</v>
      </c>
      <c r="BA10" t="s">
        <v>686</v>
      </c>
      <c r="BB10">
        <f>Inputs!D96</f>
        <v>1000000</v>
      </c>
      <c r="BC10" t="s">
        <v>134</v>
      </c>
      <c r="BD10">
        <f>Inputs!B97</f>
        <v>1</v>
      </c>
      <c r="BE10" t="s">
        <v>141</v>
      </c>
      <c r="BF10">
        <f>Inputs!C97</f>
        <v>1000000</v>
      </c>
      <c r="BG10" t="s">
        <v>149</v>
      </c>
      <c r="BH10">
        <f>Inputs!D97</f>
        <v>1000000</v>
      </c>
      <c r="BI10" t="s">
        <v>428</v>
      </c>
      <c r="BJ10">
        <f>Inputs!C101</f>
        <v>40634</v>
      </c>
      <c r="BK10" t="s">
        <v>471</v>
      </c>
      <c r="BL10">
        <f>Inputs!D101</f>
        <v>1500000</v>
      </c>
    </row>
    <row r="11" spans="1:64" ht="12.75" customHeight="1" x14ac:dyDescent="0.2">
      <c r="A11" t="s">
        <v>219</v>
      </c>
      <c r="B11">
        <f>Inputs!E101</f>
        <v>0.5</v>
      </c>
      <c r="C11" t="s">
        <v>113</v>
      </c>
      <c r="D11">
        <f>Inputs!C102</f>
        <v>40634</v>
      </c>
      <c r="E11" t="s">
        <v>159</v>
      </c>
      <c r="F11">
        <f>Inputs!D102</f>
        <v>1500000</v>
      </c>
      <c r="G11" t="s">
        <v>440</v>
      </c>
      <c r="H11">
        <f>Inputs!E102</f>
        <v>0.5</v>
      </c>
      <c r="I11" t="s">
        <v>300</v>
      </c>
      <c r="J11">
        <f>Inputs!B107</f>
        <v>0.3</v>
      </c>
      <c r="K11" t="s">
        <v>473</v>
      </c>
      <c r="L11">
        <f>Inputs!C107</f>
        <v>0.5</v>
      </c>
      <c r="M11" t="s">
        <v>43</v>
      </c>
      <c r="N11">
        <f>Inputs!B108</f>
        <v>0.3</v>
      </c>
      <c r="O11" t="s">
        <v>436</v>
      </c>
      <c r="P11">
        <f>Inputs!C108</f>
        <v>0.5</v>
      </c>
      <c r="Q11" t="s">
        <v>483</v>
      </c>
      <c r="R11">
        <f>Inputs!B112</f>
        <v>0</v>
      </c>
      <c r="S11" t="s">
        <v>792</v>
      </c>
      <c r="T11">
        <f>Inputs!C112</f>
        <v>0</v>
      </c>
      <c r="U11" t="s">
        <v>286</v>
      </c>
      <c r="V11">
        <f>Inputs!D112</f>
        <v>0</v>
      </c>
      <c r="W11" t="s">
        <v>240</v>
      </c>
      <c r="X11">
        <f>Inputs!B113</f>
        <v>0</v>
      </c>
      <c r="Y11" t="s">
        <v>174</v>
      </c>
      <c r="Z11">
        <f>Inputs!C113</f>
        <v>0</v>
      </c>
      <c r="AA11" t="s">
        <v>708</v>
      </c>
      <c r="AB11">
        <f>Inputs!D113</f>
        <v>0</v>
      </c>
      <c r="AC11" t="s">
        <v>405</v>
      </c>
      <c r="AD11">
        <f>Inputs!B121</f>
        <v>1000000</v>
      </c>
      <c r="AE11" t="s">
        <v>88</v>
      </c>
      <c r="AF11">
        <f>Inputs!B122</f>
        <v>1000000</v>
      </c>
      <c r="AG11" t="s">
        <v>25</v>
      </c>
      <c r="AH11">
        <f>Inputs!B123</f>
        <v>1000000</v>
      </c>
      <c r="AI11" t="s">
        <v>763</v>
      </c>
      <c r="AJ11">
        <f>Investment!D38</f>
        <v>0.3</v>
      </c>
      <c r="AK11" t="s">
        <v>595</v>
      </c>
      <c r="AL11">
        <f>Conversion!B28</f>
        <v>0</v>
      </c>
      <c r="AM11" t="s">
        <v>279</v>
      </c>
      <c r="AN11">
        <f>Conversion!C28</f>
        <v>0</v>
      </c>
      <c r="AO11" t="s">
        <v>525</v>
      </c>
      <c r="AP11">
        <f>Conversion!D28</f>
        <v>0</v>
      </c>
      <c r="AQ11" t="s">
        <v>499</v>
      </c>
      <c r="AR11">
        <f>Conversion!B29</f>
        <v>0</v>
      </c>
      <c r="AS11" t="s">
        <v>390</v>
      </c>
      <c r="AT11">
        <f>Conversion!C29</f>
        <v>0</v>
      </c>
      <c r="AU11" t="s">
        <v>384</v>
      </c>
      <c r="AV11">
        <f>Conversion!D29</f>
        <v>0</v>
      </c>
      <c r="AW11" t="s">
        <v>644</v>
      </c>
      <c r="AX11">
        <f>Conversion!B31</f>
        <v>0</v>
      </c>
      <c r="AY11" t="s">
        <v>413</v>
      </c>
      <c r="AZ11">
        <f>Conversion!C31</f>
        <v>0</v>
      </c>
      <c r="BA11" t="s">
        <v>363</v>
      </c>
      <c r="BB11">
        <f>Conversion!D31</f>
        <v>0</v>
      </c>
      <c r="BC11" t="s">
        <v>213</v>
      </c>
      <c r="BD11">
        <f>Conversion!B32</f>
        <v>0</v>
      </c>
      <c r="BE11" t="s">
        <v>569</v>
      </c>
      <c r="BF11">
        <f>Conversion!C32</f>
        <v>0</v>
      </c>
      <c r="BG11" t="s">
        <v>638</v>
      </c>
      <c r="BH11">
        <f>Conversion!D32</f>
        <v>0</v>
      </c>
      <c r="BI11" t="s">
        <v>577</v>
      </c>
      <c r="BJ11">
        <f>Conversion!B33</f>
        <v>0</v>
      </c>
      <c r="BK11" t="s">
        <v>738</v>
      </c>
      <c r="BL11">
        <f>Conversion!C33</f>
        <v>0</v>
      </c>
    </row>
    <row r="12" spans="1:64" ht="12.75" customHeight="1" x14ac:dyDescent="0.2">
      <c r="A12" t="s">
        <v>394</v>
      </c>
      <c r="B12">
        <f>Conversion!D33</f>
        <v>0</v>
      </c>
      <c r="C12" t="s">
        <v>359</v>
      </c>
      <c r="D12">
        <f>Conversion!B35</f>
        <v>0</v>
      </c>
      <c r="E12" t="s">
        <v>821</v>
      </c>
      <c r="F12">
        <f>Conversion!C35</f>
        <v>0</v>
      </c>
      <c r="G12" t="s">
        <v>464</v>
      </c>
      <c r="H12">
        <f>Conversion!D35</f>
        <v>0</v>
      </c>
      <c r="I12" t="s">
        <v>742</v>
      </c>
      <c r="J12">
        <f>Conversion!B36</f>
        <v>0</v>
      </c>
      <c r="K12" t="s">
        <v>794</v>
      </c>
      <c r="L12">
        <f>Conversion!C36</f>
        <v>0</v>
      </c>
      <c r="M12" t="s">
        <v>485</v>
      </c>
      <c r="N12">
        <f>Conversion!D36</f>
        <v>0</v>
      </c>
      <c r="O12" t="s">
        <v>674</v>
      </c>
      <c r="P12">
        <f>Prices!B14</f>
        <v>0</v>
      </c>
      <c r="Q12" t="s">
        <v>719</v>
      </c>
      <c r="R12">
        <f>Prices!C14</f>
        <v>0</v>
      </c>
      <c r="S12" t="s">
        <v>161</v>
      </c>
      <c r="T12">
        <f>Prices!D14</f>
        <v>0</v>
      </c>
      <c r="U12" t="s">
        <v>236</v>
      </c>
      <c r="V12">
        <f>Prices!B15</f>
        <v>0</v>
      </c>
      <c r="W12" t="s">
        <v>737</v>
      </c>
      <c r="X12">
        <f>Prices!C15</f>
        <v>0</v>
      </c>
      <c r="Y12" t="s">
        <v>781</v>
      </c>
      <c r="Z12">
        <f>Prices!D15</f>
        <v>0</v>
      </c>
      <c r="AA12" t="s">
        <v>498</v>
      </c>
      <c r="AB12">
        <f>Prices!B17</f>
        <v>1.1000000000000001</v>
      </c>
      <c r="AC12" t="s">
        <v>702</v>
      </c>
      <c r="AD12">
        <f>Prices!C17</f>
        <v>1100000</v>
      </c>
      <c r="AE12" t="s">
        <v>502</v>
      </c>
      <c r="AF12">
        <f>Prices!D17</f>
        <v>1100000</v>
      </c>
      <c r="AG12" t="s">
        <v>717</v>
      </c>
      <c r="AH12">
        <f>Prices!B18</f>
        <v>1</v>
      </c>
      <c r="AI12" t="s">
        <v>519</v>
      </c>
      <c r="AJ12">
        <f>Prices!C18</f>
        <v>1000000</v>
      </c>
      <c r="AK12" t="s">
        <v>228</v>
      </c>
      <c r="AL12">
        <f>Prices!D18</f>
        <v>1000000</v>
      </c>
      <c r="AM12" t="s">
        <v>808</v>
      </c>
      <c r="AN12">
        <f>Prices!B19</f>
        <v>1</v>
      </c>
      <c r="AO12" t="s">
        <v>510</v>
      </c>
      <c r="AP12">
        <f>Prices!C19</f>
        <v>1000000</v>
      </c>
      <c r="AQ12" t="s">
        <v>564</v>
      </c>
      <c r="AR12">
        <f>Prices!D19</f>
        <v>1000000</v>
      </c>
      <c r="AS12" t="s">
        <v>755</v>
      </c>
      <c r="AT12">
        <f>Boneyard!B12</f>
        <v>0</v>
      </c>
      <c r="AU12" t="s">
        <v>768</v>
      </c>
      <c r="AV12">
        <f>Boneyard!B13</f>
        <v>0</v>
      </c>
      <c r="AW12" t="s">
        <v>603</v>
      </c>
      <c r="AX12">
        <f>Boneyard!B14</f>
        <v>0</v>
      </c>
      <c r="AY12" t="s">
        <v>668</v>
      </c>
      <c r="AZ12">
        <f>Boneyard!B16</f>
        <v>0</v>
      </c>
      <c r="BA12" t="s">
        <v>673</v>
      </c>
      <c r="BB12">
        <f>Boneyard!B17</f>
        <v>0</v>
      </c>
      <c r="BC12" t="s">
        <v>290</v>
      </c>
      <c r="BD12">
        <f>Boneyard!D13</f>
        <v>40634</v>
      </c>
      <c r="BE12" t="s">
        <v>816</v>
      </c>
      <c r="BF12">
        <f>Boneyard!D14</f>
        <v>40634</v>
      </c>
      <c r="BG12" t="s">
        <v>233</v>
      </c>
      <c r="BH12">
        <f>Boneyard!F13</f>
        <v>1500000</v>
      </c>
      <c r="BI12" t="s">
        <v>492</v>
      </c>
      <c r="BJ12">
        <f>Boneyard!F14</f>
        <v>1500000</v>
      </c>
      <c r="BK12" t="s">
        <v>63</v>
      </c>
      <c r="BL12">
        <f>Boneyard!H13</f>
        <v>0.5</v>
      </c>
    </row>
    <row r="13" spans="1:64" ht="12.75" customHeight="1" x14ac:dyDescent="0.2">
      <c r="A13" t="s">
        <v>646</v>
      </c>
      <c r="B13">
        <f>Boneyard!H14</f>
        <v>0.5</v>
      </c>
      <c r="C13" t="s">
        <v>298</v>
      </c>
      <c r="D13">
        <f>Boneyard!B25</f>
        <v>0</v>
      </c>
      <c r="E13" t="s">
        <v>103</v>
      </c>
      <c r="F13">
        <f>Boneyard!B26</f>
        <v>0</v>
      </c>
      <c r="G13" t="s">
        <v>623</v>
      </c>
      <c r="H13">
        <f>Boneyard!B28</f>
        <v>0</v>
      </c>
      <c r="I13" t="s">
        <v>744</v>
      </c>
      <c r="J13">
        <f>Boneyard!B29</f>
        <v>0</v>
      </c>
      <c r="K13" t="s">
        <v>57</v>
      </c>
      <c r="L13">
        <f>Boneyard!D21</f>
        <v>1</v>
      </c>
      <c r="M13" t="s">
        <v>1</v>
      </c>
      <c r="N13">
        <f>Boneyard!D22</f>
        <v>1</v>
      </c>
      <c r="O13" t="s">
        <v>201</v>
      </c>
      <c r="P13">
        <f>Boneyard!D24</f>
        <v>1</v>
      </c>
      <c r="Q13" t="s">
        <v>582</v>
      </c>
      <c r="R13">
        <f>Boneyard!D25</f>
        <v>1</v>
      </c>
      <c r="S13" t="s">
        <v>585</v>
      </c>
      <c r="T13">
        <f>Boneyard!D26</f>
        <v>1</v>
      </c>
      <c r="U13" t="s">
        <v>157</v>
      </c>
      <c r="V13">
        <f>Boneyard!F25</f>
        <v>0</v>
      </c>
      <c r="W13" t="s">
        <v>297</v>
      </c>
      <c r="X13">
        <f>Boneyard!F26</f>
        <v>0</v>
      </c>
      <c r="Y13" t="s">
        <v>801</v>
      </c>
      <c r="Z13">
        <f>Boneyard!F28</f>
        <v>0</v>
      </c>
      <c r="AA13" t="s">
        <v>275</v>
      </c>
      <c r="AB13">
        <f>Boneyard!F29</f>
        <v>0</v>
      </c>
      <c r="AC13" t="s">
        <v>533</v>
      </c>
      <c r="AD13">
        <f>Boneyard!H25</f>
        <v>0</v>
      </c>
      <c r="AE13" t="s">
        <v>704</v>
      </c>
      <c r="AF13">
        <f>Boneyard!H26</f>
        <v>0</v>
      </c>
      <c r="AG13" t="s">
        <v>215</v>
      </c>
      <c r="AH13">
        <f>Boneyard!H28</f>
        <v>0</v>
      </c>
      <c r="AI13" t="s">
        <v>78</v>
      </c>
      <c r="AJ13">
        <f>Boneyard!H29</f>
        <v>0</v>
      </c>
      <c r="AK13" t="s">
        <v>645</v>
      </c>
      <c r="AL13">
        <f>Boneyard!B35</f>
        <v>0</v>
      </c>
      <c r="AM13" t="s">
        <v>727</v>
      </c>
      <c r="AN13">
        <f>Boneyard!C35</f>
        <v>0</v>
      </c>
      <c r="AO13" t="s">
        <v>35</v>
      </c>
      <c r="AP13">
        <f>Boneyard!D35</f>
        <v>0</v>
      </c>
      <c r="AQ13" t="s">
        <v>705</v>
      </c>
      <c r="AR13">
        <f>Boneyard!B36</f>
        <v>0</v>
      </c>
      <c r="AS13" t="s">
        <v>625</v>
      </c>
      <c r="AT13">
        <f>Boneyard!C36</f>
        <v>0</v>
      </c>
      <c r="AU13" t="s">
        <v>171</v>
      </c>
      <c r="AV13">
        <f>Boneyard!D36</f>
        <v>0</v>
      </c>
      <c r="AW13" t="s">
        <v>628</v>
      </c>
      <c r="AX13">
        <f>Boneyard!B39</f>
        <v>0</v>
      </c>
      <c r="AY13" t="s">
        <v>416</v>
      </c>
      <c r="AZ13">
        <f>Boneyard!C39</f>
        <v>0</v>
      </c>
      <c r="BA13" t="s">
        <v>11</v>
      </c>
      <c r="BB13">
        <f>Boneyard!D39</f>
        <v>0</v>
      </c>
      <c r="BC13" t="s">
        <v>204</v>
      </c>
      <c r="BD13">
        <f>Boneyard!B40</f>
        <v>0</v>
      </c>
      <c r="BE13" t="s">
        <v>541</v>
      </c>
      <c r="BF13">
        <f>Boneyard!C40</f>
        <v>0</v>
      </c>
      <c r="BG13" t="s">
        <v>565</v>
      </c>
      <c r="BH13">
        <f>Boneyard!D40</f>
        <v>0</v>
      </c>
      <c r="BI13" t="s">
        <v>196</v>
      </c>
      <c r="BJ13">
        <f>Boneyard!B42</f>
        <v>0</v>
      </c>
      <c r="BK13" t="s">
        <v>386</v>
      </c>
      <c r="BL13">
        <f>Boneyard!C42</f>
        <v>0</v>
      </c>
    </row>
    <row r="14" spans="1:64" ht="12.75" customHeight="1" x14ac:dyDescent="0.2">
      <c r="A14" t="s">
        <v>23</v>
      </c>
      <c r="B14">
        <f>Boneyard!D42</f>
        <v>0</v>
      </c>
      <c r="C14" t="s">
        <v>22</v>
      </c>
      <c r="D14">
        <f>Boneyard!B43</f>
        <v>0</v>
      </c>
      <c r="E14" t="s">
        <v>97</v>
      </c>
      <c r="F14">
        <f>Boneyard!C43</f>
        <v>0</v>
      </c>
      <c r="G14" t="s">
        <v>567</v>
      </c>
      <c r="H14">
        <f>Boneyard!D43</f>
        <v>0</v>
      </c>
      <c r="I14" t="s">
        <v>817</v>
      </c>
      <c r="J14">
        <f>Boneyard!B54</f>
        <v>0</v>
      </c>
      <c r="K14" t="s">
        <v>68</v>
      </c>
      <c r="L14">
        <f>Boneyard!C54</f>
        <v>0</v>
      </c>
      <c r="M14" t="s">
        <v>523</v>
      </c>
      <c r="N14">
        <f>Boneyard!D54</f>
        <v>0</v>
      </c>
      <c r="O14" t="s">
        <v>79</v>
      </c>
      <c r="P14">
        <f>Boneyard!B56</f>
        <v>0</v>
      </c>
      <c r="Q14" t="s">
        <v>571</v>
      </c>
      <c r="R14">
        <f>Boneyard!C56</f>
        <v>0</v>
      </c>
      <c r="S14" t="s">
        <v>539</v>
      </c>
      <c r="T14">
        <f>Boneyard!D56</f>
        <v>0</v>
      </c>
      <c r="U14" t="s">
        <v>561</v>
      </c>
      <c r="V14">
        <f>Boneyard!B57</f>
        <v>0</v>
      </c>
      <c r="W14" t="s">
        <v>790</v>
      </c>
      <c r="X14">
        <f>Boneyard!C57</f>
        <v>0</v>
      </c>
      <c r="Y14" t="s">
        <v>27</v>
      </c>
      <c r="Z14">
        <f>Boneyard!D57</f>
        <v>0</v>
      </c>
      <c r="AA14" t="s">
        <v>137</v>
      </c>
      <c r="AB14">
        <f>Boneyard!B63</f>
        <v>0</v>
      </c>
      <c r="AC14" t="s">
        <v>550</v>
      </c>
      <c r="AD14">
        <f>Boneyard!C63</f>
        <v>0</v>
      </c>
      <c r="AE14" t="s">
        <v>380</v>
      </c>
      <c r="AF14">
        <f>Boneyard!D63</f>
        <v>0</v>
      </c>
      <c r="AG14" t="s">
        <v>87</v>
      </c>
      <c r="AH14">
        <f>Boneyard!B64</f>
        <v>0</v>
      </c>
      <c r="AI14" t="s">
        <v>299</v>
      </c>
      <c r="AJ14">
        <f>Boneyard!C64</f>
        <v>0</v>
      </c>
      <c r="AK14" t="s">
        <v>178</v>
      </c>
      <c r="AL14">
        <f>Boneyard!D64</f>
        <v>0</v>
      </c>
      <c r="AM14" t="s">
        <v>670</v>
      </c>
      <c r="AN14">
        <f>Boneyard!B67</f>
        <v>0</v>
      </c>
      <c r="AO14" t="s">
        <v>130</v>
      </c>
      <c r="AP14">
        <f>Boneyard!C67</f>
        <v>0</v>
      </c>
      <c r="AQ14" t="s">
        <v>692</v>
      </c>
      <c r="AR14">
        <f>Boneyard!D67</f>
        <v>0</v>
      </c>
      <c r="AS14" t="s">
        <v>528</v>
      </c>
      <c r="AT14">
        <f>Boneyard!B69</f>
        <v>0</v>
      </c>
      <c r="AU14" t="s">
        <v>697</v>
      </c>
      <c r="AV14">
        <f>Boneyard!C69</f>
        <v>0</v>
      </c>
      <c r="AW14" t="s">
        <v>117</v>
      </c>
      <c r="AX14">
        <f>Boneyard!D69</f>
        <v>0</v>
      </c>
      <c r="AY14" t="s">
        <v>412</v>
      </c>
      <c r="AZ14">
        <f>Boneyard!B70</f>
        <v>0</v>
      </c>
      <c r="BA14" t="s">
        <v>693</v>
      </c>
      <c r="BB14">
        <f>Boneyard!C70</f>
        <v>0</v>
      </c>
      <c r="BC14" t="s">
        <v>381</v>
      </c>
      <c r="BD14">
        <f>Boneyard!D70</f>
        <v>0</v>
      </c>
      <c r="BE14" t="s">
        <v>29</v>
      </c>
      <c r="BF14">
        <f>Boneyard!B87</f>
        <v>0.5</v>
      </c>
    </row>
  </sheetData>
  <pageMargins left="0.75" right="0.75" top="1" bottom="1" header="0.5" footer="0.5"/>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T45" sqref="T45"/>
    </sheetView>
  </sheetViews>
  <sheetFormatPr defaultRowHeight="12.75" x14ac:dyDescent="0.2"/>
  <cols>
    <col min="1" max="28" width="9.7109375" customWidth="1"/>
  </cols>
  <sheetData>
    <row r="1" ht="12.75" customHeight="1" x14ac:dyDescent="0.2"/>
  </sheetData>
  <pageMargins left="0.25" right="0.25" top="0.5" bottom="0.5" header="0.3" footer="0.3"/>
  <pageSetup orientation="landscape"/>
  <headerFooter scaleWithDoc="0"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F126"/>
  <sheetViews>
    <sheetView zoomScaleNormal="100" workbookViewId="0"/>
  </sheetViews>
  <sheetFormatPr defaultRowHeight="12.75" customHeight="1" outlineLevelRow="1" x14ac:dyDescent="0.2"/>
  <cols>
    <col min="1" max="1" width="19.5703125" customWidth="1"/>
    <col min="2" max="2" width="17.5703125" customWidth="1"/>
    <col min="3" max="3" width="19.5703125" customWidth="1"/>
    <col min="4" max="5" width="15.140625" customWidth="1"/>
    <col min="6" max="6" width="10" customWidth="1"/>
  </cols>
  <sheetData>
    <row r="1" spans="1:6" ht="12.75" customHeight="1" x14ac:dyDescent="0.2">
      <c r="A1" s="261" t="str">
        <f>"Capitalization Table"</f>
        <v>Capitalization Table</v>
      </c>
      <c r="B1" s="261"/>
      <c r="C1" s="261"/>
      <c r="D1" s="261"/>
    </row>
    <row r="2" spans="1:6" ht="12.75" customHeight="1" x14ac:dyDescent="0.2">
      <c r="A2" s="261" t="str">
        <f>B8</f>
        <v>ABC Corp.</v>
      </c>
      <c r="B2" s="261"/>
      <c r="C2" s="261"/>
      <c r="D2" s="261"/>
    </row>
    <row r="3" spans="1:6" ht="12.75" customHeight="1" x14ac:dyDescent="0.2">
      <c r="A3" s="261" t="str">
        <f>IF("Inputs"="(Default Input)","Ignore this sheet in normal use.","Investment Scenario "&amp;1&amp;", Valuation Scenario "&amp;1)</f>
        <v>Investment Scenario 1, Valuation Scenario 1</v>
      </c>
      <c r="B3" s="261"/>
      <c r="C3" s="261"/>
      <c r="D3" s="261"/>
    </row>
    <row r="4" spans="1:6" ht="12.75" customHeight="1" x14ac:dyDescent="0.2">
      <c r="A4" s="261" t="str">
        <f>"Input Data"&amp;""</f>
        <v>Input Data</v>
      </c>
      <c r="B4" s="261"/>
      <c r="C4" s="261"/>
      <c r="D4" s="261"/>
    </row>
    <row r="5" spans="1:6" ht="12.75" customHeight="1" x14ac:dyDescent="0.2">
      <c r="A5" s="261" t="str">
        <f>" "</f>
        <v xml:space="preserve"> </v>
      </c>
      <c r="B5" s="261"/>
      <c r="C5" s="261"/>
      <c r="D5" s="261"/>
    </row>
    <row r="6" spans="1:6" ht="12.75" customHeight="1" x14ac:dyDescent="0.2">
      <c r="A6" s="260" t="str">
        <f>"Shaded cells are input cells. You can enter data in them."</f>
        <v>Shaded cells are input cells. You can enter data in them.</v>
      </c>
      <c r="B6" s="260"/>
      <c r="C6" s="260"/>
      <c r="D6" s="260"/>
      <c r="E6" s="260"/>
    </row>
    <row r="7" spans="1:6" ht="12.75" customHeight="1" x14ac:dyDescent="0.2">
      <c r="A7" s="260" t="str">
        <f>"Formulas in shaded cells are starting suggestions. You can overwrite them."</f>
        <v>Formulas in shaded cells are starting suggestions. You can overwrite them.</v>
      </c>
      <c r="B7" s="260"/>
      <c r="C7" s="260"/>
      <c r="D7" s="260"/>
      <c r="E7" s="260"/>
    </row>
    <row r="8" spans="1:6" ht="12.75" customHeight="1" x14ac:dyDescent="0.2">
      <c r="A8" s="4" t="str">
        <f>Labels!B5</f>
        <v>Company Name</v>
      </c>
      <c r="B8" s="5" t="s">
        <v>76</v>
      </c>
    </row>
    <row r="11" spans="1:6" ht="12.75" customHeight="1" x14ac:dyDescent="0.2">
      <c r="A11" s="2" t="str">
        <f>"Event Data"</f>
        <v>Event Data</v>
      </c>
    </row>
    <row r="12" spans="1:6" ht="12.75" customHeight="1" x14ac:dyDescent="0.2">
      <c r="A12" s="1" t="str">
        <f>" "</f>
        <v xml:space="preserve"> </v>
      </c>
    </row>
    <row r="13" spans="1:6" ht="12.75" customHeight="1" x14ac:dyDescent="0.2">
      <c r="B13" s="6" t="str">
        <f>Labels!B98</f>
        <v>Seed</v>
      </c>
      <c r="C13" s="7" t="str">
        <f>Labels!B99</f>
        <v>Round A</v>
      </c>
      <c r="D13" s="8" t="str">
        <f>Labels!B100</f>
        <v>Exit</v>
      </c>
    </row>
    <row r="14" spans="1:6" ht="12.75" customHeight="1" x14ac:dyDescent="0.2">
      <c r="A14" s="4" t="str">
        <f>Labels!B21</f>
        <v>Event Date</v>
      </c>
      <c r="B14" s="9">
        <f>DATE(2010,11*1-3,1)</f>
        <v>40391</v>
      </c>
      <c r="C14" s="9">
        <f>DATE(2010,11*2-3,1)</f>
        <v>40725</v>
      </c>
      <c r="D14" s="10">
        <f>DATE(2010,11*3-3,1)</f>
        <v>41061</v>
      </c>
    </row>
    <row r="15" spans="1:6" ht="12.75" customHeight="1" x14ac:dyDescent="0.2">
      <c r="A15" s="260" t="str">
        <f>""</f>
        <v/>
      </c>
      <c r="B15" s="260"/>
      <c r="C15" s="260"/>
      <c r="D15" s="260"/>
      <c r="E15" s="260"/>
      <c r="F15" s="260"/>
    </row>
    <row r="19" spans="1:5" ht="12.75" customHeight="1" x14ac:dyDescent="0.2">
      <c r="A19" s="2" t="str">
        <f>"Convertible Notes"</f>
        <v>Convertible Notes</v>
      </c>
    </row>
    <row r="20" spans="1:5" ht="12.75" hidden="1" customHeight="1" outlineLevel="1" x14ac:dyDescent="0.2">
      <c r="A20" s="1" t="str">
        <f>" "</f>
        <v xml:space="preserve"> </v>
      </c>
    </row>
    <row r="21" spans="1:5" ht="12.75" hidden="1" customHeight="1" outlineLevel="1" x14ac:dyDescent="0.2">
      <c r="A21" s="1" t="str">
        <f>" "</f>
        <v xml:space="preserve"> </v>
      </c>
    </row>
    <row r="22" spans="1:5" ht="12.75" hidden="1" customHeight="1" outlineLevel="1" x14ac:dyDescent="0.2">
      <c r="B22" s="6" t="str">
        <f>Labels!B13</f>
        <v>Conv Discount %</v>
      </c>
      <c r="C22" s="7" t="str">
        <f>Labels!B47</f>
        <v>Liq Multiple</v>
      </c>
      <c r="D22" s="8" t="str">
        <f>Labels!B19</f>
        <v>Dividend % (Yr)</v>
      </c>
    </row>
    <row r="23" spans="1:5" ht="12.75" hidden="1" customHeight="1" outlineLevel="1" x14ac:dyDescent="0.2">
      <c r="A23" s="11" t="str">
        <f>Labels!B104</f>
        <v>Series B</v>
      </c>
      <c r="B23" s="12">
        <f>0.3</f>
        <v>0.3</v>
      </c>
      <c r="C23" s="13">
        <f>1</f>
        <v>1</v>
      </c>
      <c r="D23" s="14">
        <f>0.04</f>
        <v>0.04</v>
      </c>
    </row>
    <row r="24" spans="1:5" ht="12.75" hidden="1" customHeight="1" outlineLevel="1" x14ac:dyDescent="0.2">
      <c r="A24" s="15" t="str">
        <f>Labels!B105</f>
        <v>Series A</v>
      </c>
      <c r="B24" s="16">
        <f>0.3</f>
        <v>0.3</v>
      </c>
      <c r="C24" s="17">
        <f>1</f>
        <v>1</v>
      </c>
      <c r="D24" s="18">
        <f>0.04</f>
        <v>0.04</v>
      </c>
    </row>
    <row r="25" spans="1:5" ht="12.75" hidden="1" customHeight="1" outlineLevel="1" x14ac:dyDescent="0.2"/>
    <row r="26" spans="1:5" ht="12.75" hidden="1" customHeight="1" outlineLevel="1" x14ac:dyDescent="0.2">
      <c r="A26" s="1" t="str">
        <f>"Conversion Criteria"</f>
        <v>Conversion Criteria</v>
      </c>
    </row>
    <row r="27" spans="1:5" ht="12.75" hidden="1" customHeight="1" outlineLevel="1" x14ac:dyDescent="0.2">
      <c r="B27" s="6" t="str">
        <f>Labels!B9</f>
        <v>Trigger Date</v>
      </c>
      <c r="C27" s="7" t="str">
        <f>Labels!B10</f>
        <v>Trigger Invest</v>
      </c>
      <c r="D27" s="7" t="str">
        <f>Labels!B11</f>
        <v>Trigger Value %</v>
      </c>
      <c r="E27" s="8" t="str">
        <f>Labels!B8</f>
        <v>Liq Premium %</v>
      </c>
    </row>
    <row r="28" spans="1:5" ht="12.75" hidden="1" customHeight="1" outlineLevel="1" x14ac:dyDescent="0.2">
      <c r="A28" s="11" t="str">
        <f>Labels!B104</f>
        <v>Series B</v>
      </c>
      <c r="B28" s="19">
        <f>DATE(2011,4,1)</f>
        <v>40634</v>
      </c>
      <c r="C28" s="20">
        <f>1000000</f>
        <v>1000000</v>
      </c>
      <c r="D28" s="12">
        <f>0.5</f>
        <v>0.5</v>
      </c>
      <c r="E28" s="21">
        <f>0.2</f>
        <v>0.2</v>
      </c>
    </row>
    <row r="29" spans="1:5" ht="12.75" hidden="1" customHeight="1" outlineLevel="1" x14ac:dyDescent="0.2">
      <c r="A29" s="15" t="str">
        <f>Labels!B105</f>
        <v>Series A</v>
      </c>
      <c r="B29" s="22">
        <f>DATE(2011,4,1)</f>
        <v>40634</v>
      </c>
      <c r="C29" s="23">
        <f>1000000</f>
        <v>1000000</v>
      </c>
      <c r="D29" s="16">
        <f>0.5</f>
        <v>0.5</v>
      </c>
      <c r="E29" s="24">
        <f>0.2</f>
        <v>0.2</v>
      </c>
    </row>
    <row r="30" spans="1:5" ht="12.75" hidden="1" customHeight="1" outlineLevel="1" x14ac:dyDescent="0.2"/>
    <row r="31" spans="1:5" ht="12.75" hidden="1" customHeight="1" outlineLevel="1" x14ac:dyDescent="0.2">
      <c r="A31" s="1" t="str">
        <f>"Rates of Return"</f>
        <v>Rates of Return</v>
      </c>
    </row>
    <row r="32" spans="1:5" ht="12.75" hidden="1" customHeight="1" outlineLevel="1" x14ac:dyDescent="0.2">
      <c r="B32" s="6" t="str">
        <f>Labels!B14</f>
        <v>Discount Rate (Yr)</v>
      </c>
      <c r="C32" s="8" t="str">
        <f>Labels!B45</f>
        <v>IRR Initial Guess (Yr)</v>
      </c>
    </row>
    <row r="33" spans="1:5" ht="12.75" hidden="1" customHeight="1" outlineLevel="1" x14ac:dyDescent="0.2">
      <c r="A33" s="11" t="str">
        <f>Labels!B104</f>
        <v>Series B</v>
      </c>
      <c r="B33" s="12">
        <f>0.3</f>
        <v>0.3</v>
      </c>
      <c r="C33" s="14">
        <f>0.5</f>
        <v>0.5</v>
      </c>
    </row>
    <row r="34" spans="1:5" ht="12.75" hidden="1" customHeight="1" outlineLevel="1" x14ac:dyDescent="0.2">
      <c r="A34" s="15" t="str">
        <f>Labels!B105</f>
        <v>Series A</v>
      </c>
      <c r="B34" s="16">
        <f>0.3</f>
        <v>0.3</v>
      </c>
      <c r="C34" s="18">
        <f>0.5</f>
        <v>0.5</v>
      </c>
    </row>
    <row r="35" spans="1:5" ht="12.75" hidden="1" customHeight="1" outlineLevel="1" x14ac:dyDescent="0.2"/>
    <row r="36" spans="1:5" ht="12.75" hidden="1" customHeight="1" outlineLevel="1" x14ac:dyDescent="0.2">
      <c r="B36" s="6" t="str">
        <f>Labels!B98</f>
        <v>Seed</v>
      </c>
      <c r="C36" s="7" t="str">
        <f>Labels!B99</f>
        <v>Round A</v>
      </c>
      <c r="D36" s="7" t="str">
        <f>Labels!B100</f>
        <v>Exit</v>
      </c>
      <c r="E36" s="25" t="str">
        <f>Labels!C97</f>
        <v>Total</v>
      </c>
    </row>
    <row r="37" spans="1:5" ht="12.75" hidden="1" customHeight="1" outlineLevel="1" x14ac:dyDescent="0.2">
      <c r="A37" s="11" t="str">
        <f>Labels!B43</f>
        <v>New Investment</v>
      </c>
      <c r="B37" s="26"/>
      <c r="C37" s="26"/>
      <c r="D37" s="26"/>
      <c r="E37" s="27"/>
    </row>
    <row r="38" spans="1:5" ht="12.75" hidden="1" customHeight="1" outlineLevel="1" x14ac:dyDescent="0.2">
      <c r="A38" s="28" t="str">
        <f>"   "&amp;Labels!B104</f>
        <v xml:space="preserve">   Series B</v>
      </c>
      <c r="B38" s="29">
        <f>0</f>
        <v>0</v>
      </c>
      <c r="C38" s="29">
        <f>0</f>
        <v>0</v>
      </c>
      <c r="D38" s="29">
        <f>0</f>
        <v>0</v>
      </c>
      <c r="E38" s="30">
        <f>SUM(B38:D38)</f>
        <v>0</v>
      </c>
    </row>
    <row r="39" spans="1:5" ht="12.75" hidden="1" customHeight="1" outlineLevel="1" x14ac:dyDescent="0.2">
      <c r="A39" s="28" t="str">
        <f>"   "&amp;Labels!B105</f>
        <v xml:space="preserve">   Series A</v>
      </c>
      <c r="B39" s="29">
        <f>0</f>
        <v>0</v>
      </c>
      <c r="C39" s="29">
        <f>0</f>
        <v>0</v>
      </c>
      <c r="D39" s="29">
        <f>0</f>
        <v>0</v>
      </c>
      <c r="E39" s="30">
        <f>SUM(B39:D39)</f>
        <v>0</v>
      </c>
    </row>
    <row r="40" spans="1:5" ht="12.75" hidden="1" customHeight="1" outlineLevel="1" x14ac:dyDescent="0.2">
      <c r="A40" s="15" t="str">
        <f>"   "&amp;Labels!C103</f>
        <v xml:space="preserve">   Subtotal</v>
      </c>
      <c r="B40" s="31">
        <f>SUM(B38:B39)</f>
        <v>0</v>
      </c>
      <c r="C40" s="31">
        <f>SUM(C38:C39)</f>
        <v>0</v>
      </c>
      <c r="D40" s="31">
        <f>SUM(D38:D39)</f>
        <v>0</v>
      </c>
      <c r="E40" s="32">
        <f>SUM(E38:E39)</f>
        <v>0</v>
      </c>
    </row>
    <row r="41" spans="1:5" ht="12.75" hidden="1" customHeight="1" outlineLevel="1" x14ac:dyDescent="0.2"/>
    <row r="42" spans="1:5" ht="12.75" hidden="1" customHeight="1" outlineLevel="1" collapsed="1" x14ac:dyDescent="0.2"/>
    <row r="43" spans="1:5" ht="12.75" customHeight="1" collapsed="1" x14ac:dyDescent="0.2"/>
    <row r="44" spans="1:5" ht="12.75" customHeight="1" x14ac:dyDescent="0.2">
      <c r="A44" s="2" t="str">
        <f>"Stock"</f>
        <v>Stock</v>
      </c>
    </row>
    <row r="45" spans="1:5" ht="12.75" customHeight="1" x14ac:dyDescent="0.2">
      <c r="A45" s="1" t="str">
        <f>" "</f>
        <v xml:space="preserve"> </v>
      </c>
    </row>
    <row r="46" spans="1:5" ht="12.75" customHeight="1" x14ac:dyDescent="0.2">
      <c r="A46" s="3" t="str">
        <f>"Preferred Shares"</f>
        <v>Preferred Shares</v>
      </c>
    </row>
    <row r="47" spans="1:5" ht="12.75" hidden="1" customHeight="1" outlineLevel="1" x14ac:dyDescent="0.2">
      <c r="A47" s="1" t="str">
        <f>" "</f>
        <v xml:space="preserve"> </v>
      </c>
    </row>
    <row r="48" spans="1:5" ht="12.75" hidden="1" customHeight="1" outlineLevel="1" x14ac:dyDescent="0.2">
      <c r="B48" s="6" t="str">
        <f>Labels!B98</f>
        <v>Seed</v>
      </c>
      <c r="C48" s="7" t="str">
        <f>Labels!B99</f>
        <v>Round A</v>
      </c>
      <c r="D48" s="8" t="str">
        <f>Labels!B100</f>
        <v>Exit</v>
      </c>
    </row>
    <row r="49" spans="1:5" ht="12.75" hidden="1" customHeight="1" outlineLevel="1" x14ac:dyDescent="0.2">
      <c r="A49" s="11" t="str">
        <f>Labels!B66</f>
        <v>Price Premium %</v>
      </c>
      <c r="B49" s="33"/>
      <c r="C49" s="33"/>
      <c r="D49" s="34"/>
    </row>
    <row r="50" spans="1:5" ht="12.75" hidden="1" customHeight="1" outlineLevel="1" x14ac:dyDescent="0.2">
      <c r="A50" s="35" t="str">
        <f>"   "&amp;Labels!B107</f>
        <v xml:space="preserve">   Series A</v>
      </c>
      <c r="B50" s="36">
        <f>0.1</f>
        <v>0.1</v>
      </c>
      <c r="C50" s="36">
        <f>B50</f>
        <v>0.1</v>
      </c>
      <c r="D50" s="37">
        <f>C50</f>
        <v>0.1</v>
      </c>
    </row>
    <row r="51" spans="1:5" ht="12.75" hidden="1" customHeight="1" outlineLevel="1" x14ac:dyDescent="0.2"/>
    <row r="52" spans="1:5" ht="12.75" hidden="1" customHeight="1" outlineLevel="1" x14ac:dyDescent="0.2">
      <c r="B52" s="6" t="str">
        <f>Labels!B47</f>
        <v>Liq Multiple</v>
      </c>
      <c r="C52" s="8" t="str">
        <f>Labels!B19</f>
        <v>Dividend % (Yr)</v>
      </c>
    </row>
    <row r="53" spans="1:5" ht="12.75" hidden="1" customHeight="1" outlineLevel="1" x14ac:dyDescent="0.2">
      <c r="A53" s="4" t="str">
        <f>Labels!B107</f>
        <v>Series A</v>
      </c>
      <c r="B53" s="38">
        <f>1</f>
        <v>1</v>
      </c>
      <c r="C53" s="39">
        <f>0.06</f>
        <v>0.06</v>
      </c>
    </row>
    <row r="54" spans="1:5" ht="12.75" hidden="1" customHeight="1" outlineLevel="1" x14ac:dyDescent="0.2"/>
    <row r="55" spans="1:5" ht="12.75" hidden="1" customHeight="1" outlineLevel="1" x14ac:dyDescent="0.2">
      <c r="A55" s="1" t="str">
        <f>"Conversion Criteria"</f>
        <v>Conversion Criteria</v>
      </c>
    </row>
    <row r="56" spans="1:5" ht="12.75" hidden="1" customHeight="1" outlineLevel="1" x14ac:dyDescent="0.2">
      <c r="B56" s="6" t="str">
        <f>Labels!B9</f>
        <v>Trigger Date</v>
      </c>
      <c r="C56" s="7" t="str">
        <f>Labels!B10</f>
        <v>Trigger Invest</v>
      </c>
      <c r="D56" s="7" t="str">
        <f>Labels!B11</f>
        <v>Trigger Value %</v>
      </c>
      <c r="E56" s="8" t="str">
        <f>Labels!B8</f>
        <v>Liq Premium %</v>
      </c>
    </row>
    <row r="57" spans="1:5" ht="12.75" hidden="1" customHeight="1" outlineLevel="1" x14ac:dyDescent="0.2">
      <c r="A57" s="4" t="str">
        <f>Labels!B107</f>
        <v>Series A</v>
      </c>
      <c r="B57" s="9">
        <f>DATE(2011,4,1)</f>
        <v>40634</v>
      </c>
      <c r="C57" s="40">
        <f>1500000</f>
        <v>1500000</v>
      </c>
      <c r="D57" s="41">
        <f>0.5</f>
        <v>0.5</v>
      </c>
      <c r="E57" s="42">
        <f>-0.2</f>
        <v>-0.2</v>
      </c>
    </row>
    <row r="58" spans="1:5" ht="12.75" hidden="1" customHeight="1" outlineLevel="1" x14ac:dyDescent="0.2"/>
    <row r="59" spans="1:5" ht="12.75" hidden="1" customHeight="1" outlineLevel="1" x14ac:dyDescent="0.2">
      <c r="A59" s="1" t="str">
        <f>"Rates of Return"</f>
        <v>Rates of Return</v>
      </c>
    </row>
    <row r="60" spans="1:5" ht="12.75" hidden="1" customHeight="1" outlineLevel="1" x14ac:dyDescent="0.2">
      <c r="B60" s="6" t="str">
        <f>Labels!B14</f>
        <v>Discount Rate (Yr)</v>
      </c>
      <c r="C60" s="8" t="str">
        <f>Labels!B45</f>
        <v>IRR Initial Guess (Yr)</v>
      </c>
    </row>
    <row r="61" spans="1:5" ht="12.75" hidden="1" customHeight="1" outlineLevel="1" x14ac:dyDescent="0.2">
      <c r="A61" s="4" t="str">
        <f>Labels!B107</f>
        <v>Series A</v>
      </c>
      <c r="B61" s="41">
        <f>0.3</f>
        <v>0.3</v>
      </c>
      <c r="C61" s="39">
        <f>0.5</f>
        <v>0.5</v>
      </c>
    </row>
    <row r="62" spans="1:5" ht="12.75" hidden="1" customHeight="1" outlineLevel="1" x14ac:dyDescent="0.2"/>
    <row r="63" spans="1:5" ht="12.75" hidden="1" customHeight="1" outlineLevel="1" x14ac:dyDescent="0.2">
      <c r="B63" s="6" t="str">
        <f>Labels!B98</f>
        <v>Seed</v>
      </c>
      <c r="C63" s="7" t="str">
        <f>Labels!B99</f>
        <v>Round A</v>
      </c>
      <c r="D63" s="7" t="str">
        <f>Labels!B100</f>
        <v>Exit</v>
      </c>
      <c r="E63" s="25" t="str">
        <f>Labels!C97</f>
        <v>Total</v>
      </c>
    </row>
    <row r="64" spans="1:5" ht="12.75" hidden="1" customHeight="1" outlineLevel="1" x14ac:dyDescent="0.2">
      <c r="A64" s="11" t="str">
        <f>Labels!B43</f>
        <v>New Investment</v>
      </c>
      <c r="B64" s="26"/>
      <c r="C64" s="26"/>
      <c r="D64" s="26"/>
      <c r="E64" s="27"/>
    </row>
    <row r="65" spans="1:5" ht="12.75" hidden="1" customHeight="1" outlineLevel="1" x14ac:dyDescent="0.2">
      <c r="A65" s="28" t="str">
        <f>"   "&amp;Labels!B107</f>
        <v xml:space="preserve">   Series A</v>
      </c>
      <c r="B65" s="29">
        <f>0</f>
        <v>0</v>
      </c>
      <c r="C65" s="29">
        <f>0</f>
        <v>0</v>
      </c>
      <c r="D65" s="29">
        <f>0</f>
        <v>0</v>
      </c>
      <c r="E65" s="30">
        <f>SUM(B65:D65)</f>
        <v>0</v>
      </c>
    </row>
    <row r="66" spans="1:5" ht="12.75" hidden="1" customHeight="1" outlineLevel="1" x14ac:dyDescent="0.2">
      <c r="A66" s="15" t="str">
        <f>"   "&amp;Labels!C106</f>
        <v xml:space="preserve">   Subtotal</v>
      </c>
      <c r="B66" s="31">
        <f>B65</f>
        <v>0</v>
      </c>
      <c r="C66" s="31">
        <f>C65</f>
        <v>0</v>
      </c>
      <c r="D66" s="31">
        <f>D65</f>
        <v>0</v>
      </c>
      <c r="E66" s="32">
        <f>E65</f>
        <v>0</v>
      </c>
    </row>
    <row r="67" spans="1:5" ht="12.75" hidden="1" customHeight="1" outlineLevel="1" x14ac:dyDescent="0.2"/>
    <row r="68" spans="1:5" ht="12.75" hidden="1" customHeight="1" outlineLevel="1" collapsed="1" x14ac:dyDescent="0.2"/>
    <row r="69" spans="1:5" ht="12.75" customHeight="1" collapsed="1" x14ac:dyDescent="0.2">
      <c r="A69" s="3" t="str">
        <f>"Common Shares"</f>
        <v>Common Shares</v>
      </c>
    </row>
    <row r="70" spans="1:5" ht="12.75" hidden="1" customHeight="1" outlineLevel="1" x14ac:dyDescent="0.2">
      <c r="A70" s="1" t="str">
        <f>" "</f>
        <v xml:space="preserve"> </v>
      </c>
    </row>
    <row r="71" spans="1:5" ht="12.75" hidden="1" customHeight="1" outlineLevel="1" x14ac:dyDescent="0.2">
      <c r="A71" s="4" t="str">
        <f>Labels!B65</f>
        <v>Initial Common Price</v>
      </c>
      <c r="B71" s="43">
        <v>1</v>
      </c>
    </row>
    <row r="72" spans="1:5" ht="12.75" hidden="1" customHeight="1" outlineLevel="1" x14ac:dyDescent="0.2"/>
    <row r="73" spans="1:5" ht="12.75" hidden="1" customHeight="1" outlineLevel="1" x14ac:dyDescent="0.2">
      <c r="B73" s="6" t="str">
        <f>Labels!B98</f>
        <v>Seed</v>
      </c>
      <c r="C73" s="7" t="str">
        <f>Labels!B99</f>
        <v>Round A</v>
      </c>
      <c r="D73" s="8" t="str">
        <f>Labels!B100</f>
        <v>Exit</v>
      </c>
    </row>
    <row r="74" spans="1:5" ht="12.75" hidden="1" customHeight="1" outlineLevel="1" x14ac:dyDescent="0.2">
      <c r="A74" s="4" t="str">
        <f>Labels!B77</f>
        <v>Split Factor</v>
      </c>
      <c r="B74" s="38">
        <f>1</f>
        <v>1</v>
      </c>
      <c r="C74" s="38">
        <f>1</f>
        <v>1</v>
      </c>
      <c r="D74" s="44">
        <f>1</f>
        <v>1</v>
      </c>
    </row>
    <row r="75" spans="1:5" ht="12.75" hidden="1" customHeight="1" outlineLevel="1" x14ac:dyDescent="0.2"/>
    <row r="76" spans="1:5" ht="12.75" hidden="1" customHeight="1" outlineLevel="1" x14ac:dyDescent="0.2">
      <c r="A76" s="4" t="str">
        <f>Labels!B18</f>
        <v>Dividend Common</v>
      </c>
      <c r="B76" s="45">
        <f>0/3</f>
        <v>0</v>
      </c>
      <c r="C76" s="45">
        <f>0/3</f>
        <v>0</v>
      </c>
      <c r="D76" s="45">
        <f>0/3</f>
        <v>0</v>
      </c>
      <c r="E76" s="46">
        <f>SUM(B76:D76)</f>
        <v>0</v>
      </c>
    </row>
    <row r="77" spans="1:5" ht="12.75" hidden="1" customHeight="1" outlineLevel="1" x14ac:dyDescent="0.2"/>
    <row r="78" spans="1:5" ht="12.75" hidden="1" customHeight="1" outlineLevel="1" x14ac:dyDescent="0.2">
      <c r="A78" s="1" t="str">
        <f>"Rates of Return"</f>
        <v>Rates of Return</v>
      </c>
    </row>
    <row r="79" spans="1:5" ht="12.75" hidden="1" customHeight="1" outlineLevel="1" x14ac:dyDescent="0.2">
      <c r="B79" s="6" t="str">
        <f>Labels!B14</f>
        <v>Discount Rate (Yr)</v>
      </c>
      <c r="C79" s="8" t="str">
        <f>Labels!B45</f>
        <v>IRR Initial Guess (Yr)</v>
      </c>
    </row>
    <row r="80" spans="1:5" ht="12.75" hidden="1" customHeight="1" outlineLevel="1" x14ac:dyDescent="0.2">
      <c r="A80" s="4"/>
      <c r="B80" s="41">
        <f>0.3</f>
        <v>0.3</v>
      </c>
      <c r="C80" s="39">
        <f>0.5</f>
        <v>0.5</v>
      </c>
    </row>
    <row r="81" spans="1:5" ht="12.75" hidden="1" customHeight="1" outlineLevel="1" x14ac:dyDescent="0.2"/>
    <row r="82" spans="1:5" ht="12.75" hidden="1" customHeight="1" outlineLevel="1" x14ac:dyDescent="0.2">
      <c r="B82" s="6" t="str">
        <f>Labels!B98</f>
        <v>Seed</v>
      </c>
      <c r="C82" s="7" t="str">
        <f>Labels!B99</f>
        <v>Round A</v>
      </c>
      <c r="D82" s="7" t="str">
        <f>Labels!B100</f>
        <v>Exit</v>
      </c>
      <c r="E82" s="25" t="str">
        <f>Labels!C97</f>
        <v>Total</v>
      </c>
    </row>
    <row r="83" spans="1:5" ht="12.75" hidden="1" customHeight="1" outlineLevel="1" x14ac:dyDescent="0.2">
      <c r="A83" s="4" t="str">
        <f>Labels!B43</f>
        <v>New Investment</v>
      </c>
      <c r="B83" s="40">
        <f>1</f>
        <v>1</v>
      </c>
      <c r="C83" s="40">
        <f>0</f>
        <v>0</v>
      </c>
      <c r="D83" s="40">
        <f>0</f>
        <v>0</v>
      </c>
      <c r="E83" s="47">
        <f>SUM(B83:D83)</f>
        <v>1</v>
      </c>
    </row>
    <row r="84" spans="1:5" ht="12.75" hidden="1" customHeight="1" outlineLevel="1" x14ac:dyDescent="0.2"/>
    <row r="85" spans="1:5" ht="12.75" hidden="1" customHeight="1" outlineLevel="1" collapsed="1" x14ac:dyDescent="0.2"/>
    <row r="86" spans="1:5" ht="12.75" customHeight="1" collapsed="1" x14ac:dyDescent="0.2"/>
    <row r="88" spans="1:5" ht="12.75" customHeight="1" x14ac:dyDescent="0.2">
      <c r="A88" s="2" t="str">
        <f>"Options"</f>
        <v>Options</v>
      </c>
    </row>
    <row r="89" spans="1:5" ht="12.75" hidden="1" customHeight="1" outlineLevel="1" x14ac:dyDescent="0.2">
      <c r="A89" s="1" t="str">
        <f>" "</f>
        <v xml:space="preserve"> </v>
      </c>
    </row>
    <row r="90" spans="1:5" ht="12.75" hidden="1" customHeight="1" outlineLevel="1" x14ac:dyDescent="0.2">
      <c r="A90" s="11" t="str">
        <f>Labels!B69</f>
        <v>New Unit Price %</v>
      </c>
      <c r="B90" s="48"/>
    </row>
    <row r="91" spans="1:5" ht="12.75" hidden="1" customHeight="1" outlineLevel="1" x14ac:dyDescent="0.2">
      <c r="A91" s="28" t="str">
        <f>"   "&amp;Labels!B111</f>
        <v xml:space="preserve">   Series B</v>
      </c>
      <c r="B91" s="49">
        <f>1</f>
        <v>1</v>
      </c>
    </row>
    <row r="92" spans="1:5" ht="12.75" hidden="1" customHeight="1" outlineLevel="1" x14ac:dyDescent="0.2">
      <c r="A92" s="35" t="str">
        <f>"   "&amp;Labels!B112</f>
        <v xml:space="preserve">   Series A</v>
      </c>
      <c r="B92" s="50">
        <f>1</f>
        <v>1</v>
      </c>
    </row>
    <row r="93" spans="1:5" ht="12.75" hidden="1" customHeight="1" outlineLevel="1" x14ac:dyDescent="0.2"/>
    <row r="94" spans="1:5" ht="12.75" hidden="1" customHeight="1" outlineLevel="1" x14ac:dyDescent="0.2">
      <c r="B94" s="6" t="str">
        <f>Labels!B98</f>
        <v>Seed</v>
      </c>
      <c r="C94" s="7" t="str">
        <f>Labels!B99</f>
        <v>Round A</v>
      </c>
      <c r="D94" s="8" t="str">
        <f>Labels!B100</f>
        <v>Exit</v>
      </c>
    </row>
    <row r="95" spans="1:5" ht="12.75" hidden="1" customHeight="1" outlineLevel="1" x14ac:dyDescent="0.2">
      <c r="A95" s="11" t="str">
        <f>Labels!B68</f>
        <v>Price New Unit</v>
      </c>
      <c r="B95" s="51"/>
      <c r="C95" s="51"/>
      <c r="D95" s="52"/>
    </row>
    <row r="96" spans="1:5" ht="12.75" hidden="1" customHeight="1" outlineLevel="1" x14ac:dyDescent="0.2">
      <c r="A96" s="28" t="str">
        <f>"   "&amp;Labels!B111</f>
        <v xml:space="preserve">   Series B</v>
      </c>
      <c r="B96" s="53">
        <f>MAX(0,B91*Prices!B18+B91*(-B101))</f>
        <v>1</v>
      </c>
      <c r="C96" s="53">
        <f>MAX(0,B91*Prices!C18+B91*(-B101))</f>
        <v>1000000</v>
      </c>
      <c r="D96" s="54">
        <f>MAX(0,B91*Prices!D18+B91*(-B101))</f>
        <v>1000000</v>
      </c>
    </row>
    <row r="97" spans="1:6" ht="12.75" hidden="1" customHeight="1" outlineLevel="1" x14ac:dyDescent="0.2">
      <c r="A97" s="35" t="str">
        <f>"   "&amp;Labels!B112</f>
        <v xml:space="preserve">   Series A</v>
      </c>
      <c r="B97" s="55">
        <f>MAX(0,B92*Prices!B18+B92*(-B102))</f>
        <v>1</v>
      </c>
      <c r="C97" s="55">
        <f>MAX(0,B92*Prices!C18+B92*(-B102))</f>
        <v>1000000</v>
      </c>
      <c r="D97" s="56">
        <f>MAX(0,B92*Prices!D18+B92*(-B102))</f>
        <v>1000000</v>
      </c>
    </row>
    <row r="98" spans="1:6" ht="12.75" hidden="1" customHeight="1" outlineLevel="1" x14ac:dyDescent="0.2"/>
    <row r="99" spans="1:6" ht="12.75" hidden="1" customHeight="1" outlineLevel="1" x14ac:dyDescent="0.2">
      <c r="A99" s="1" t="str">
        <f>"Exercise Criteria"</f>
        <v>Exercise Criteria</v>
      </c>
    </row>
    <row r="100" spans="1:6" ht="12.75" hidden="1" customHeight="1" outlineLevel="1" x14ac:dyDescent="0.2">
      <c r="B100" s="6" t="str">
        <f>Labels!B53</f>
        <v>Exercise Price</v>
      </c>
      <c r="C100" s="7" t="str">
        <f>Labels!B9</f>
        <v>Trigger Date</v>
      </c>
      <c r="D100" s="7" t="str">
        <f>Labels!B10</f>
        <v>Trigger Invest</v>
      </c>
      <c r="E100" s="8" t="str">
        <f>Labels!B11</f>
        <v>Trigger Value %</v>
      </c>
    </row>
    <row r="101" spans="1:6" ht="12.75" hidden="1" customHeight="1" outlineLevel="1" x14ac:dyDescent="0.2">
      <c r="A101" s="11" t="str">
        <f>Labels!B111</f>
        <v>Series B</v>
      </c>
      <c r="B101" s="51">
        <f>0</f>
        <v>0</v>
      </c>
      <c r="C101" s="19">
        <f>DATE(2011,4,1)</f>
        <v>40634</v>
      </c>
      <c r="D101" s="20">
        <f>1500000</f>
        <v>1500000</v>
      </c>
      <c r="E101" s="57">
        <f>0.5</f>
        <v>0.5</v>
      </c>
    </row>
    <row r="102" spans="1:6" ht="12.75" hidden="1" customHeight="1" outlineLevel="1" x14ac:dyDescent="0.2">
      <c r="A102" s="15" t="str">
        <f>Labels!B112</f>
        <v>Series A</v>
      </c>
      <c r="B102" s="58">
        <f>0</f>
        <v>0</v>
      </c>
      <c r="C102" s="22">
        <f>DATE(2011,4,1)</f>
        <v>40634</v>
      </c>
      <c r="D102" s="23">
        <f>1500000</f>
        <v>1500000</v>
      </c>
      <c r="E102" s="59">
        <f>0.5</f>
        <v>0.5</v>
      </c>
    </row>
    <row r="103" spans="1:6" ht="12.75" hidden="1" customHeight="1" outlineLevel="1" x14ac:dyDescent="0.2">
      <c r="A103" s="260" t="str">
        <f>"You can edit exercise prices for individual series even though the cells are not shaded."</f>
        <v>You can edit exercise prices for individual series even though the cells are not shaded.</v>
      </c>
      <c r="B103" s="260"/>
      <c r="C103" s="260"/>
      <c r="D103" s="260"/>
      <c r="E103" s="260"/>
      <c r="F103" s="260"/>
    </row>
    <row r="104" spans="1:6" ht="12.75" hidden="1" customHeight="1" outlineLevel="1" x14ac:dyDescent="0.2"/>
    <row r="105" spans="1:6" ht="12.75" hidden="1" customHeight="1" outlineLevel="1" x14ac:dyDescent="0.2">
      <c r="A105" s="1" t="str">
        <f>"Rates of Return"</f>
        <v>Rates of Return</v>
      </c>
    </row>
    <row r="106" spans="1:6" ht="12.75" hidden="1" customHeight="1" outlineLevel="1" x14ac:dyDescent="0.2">
      <c r="B106" s="6" t="str">
        <f>Labels!B14</f>
        <v>Discount Rate (Yr)</v>
      </c>
      <c r="C106" s="8" t="str">
        <f>Labels!B45</f>
        <v>IRR Initial Guess (Yr)</v>
      </c>
    </row>
    <row r="107" spans="1:6" ht="12.75" hidden="1" customHeight="1" outlineLevel="1" x14ac:dyDescent="0.2">
      <c r="A107" s="11" t="str">
        <f>Labels!B111</f>
        <v>Series B</v>
      </c>
      <c r="B107" s="12">
        <f>0.3</f>
        <v>0.3</v>
      </c>
      <c r="C107" s="14">
        <f>0.5</f>
        <v>0.5</v>
      </c>
    </row>
    <row r="108" spans="1:6" ht="12.75" hidden="1" customHeight="1" outlineLevel="1" x14ac:dyDescent="0.2">
      <c r="A108" s="15" t="str">
        <f>Labels!B112</f>
        <v>Series A</v>
      </c>
      <c r="B108" s="16">
        <f>0.3</f>
        <v>0.3</v>
      </c>
      <c r="C108" s="18">
        <f>0.5</f>
        <v>0.5</v>
      </c>
    </row>
    <row r="109" spans="1:6" ht="12.75" hidden="1" customHeight="1" outlineLevel="1" x14ac:dyDescent="0.2"/>
    <row r="110" spans="1:6" ht="12.75" hidden="1" customHeight="1" outlineLevel="1" x14ac:dyDescent="0.2">
      <c r="B110" s="6" t="str">
        <f>Labels!B98</f>
        <v>Seed</v>
      </c>
      <c r="C110" s="7" t="str">
        <f>Labels!B99</f>
        <v>Round A</v>
      </c>
      <c r="D110" s="7" t="str">
        <f>Labels!B100</f>
        <v>Exit</v>
      </c>
      <c r="E110" s="25" t="str">
        <f>Labels!C97</f>
        <v>Total</v>
      </c>
    </row>
    <row r="111" spans="1:6" ht="12.75" hidden="1" customHeight="1" outlineLevel="1" x14ac:dyDescent="0.2">
      <c r="A111" s="11" t="str">
        <f>Labels!B80</f>
        <v>New Units</v>
      </c>
      <c r="B111" s="60"/>
      <c r="C111" s="60"/>
      <c r="D111" s="60"/>
      <c r="E111" s="61"/>
    </row>
    <row r="112" spans="1:6" ht="12.75" hidden="1" customHeight="1" outlineLevel="1" x14ac:dyDescent="0.2">
      <c r="A112" s="28" t="str">
        <f>"   "&amp;Labels!B111</f>
        <v xml:space="preserve">   Series B</v>
      </c>
      <c r="B112" s="62">
        <f t="shared" ref="B112:D113" si="0">0/3/10</f>
        <v>0</v>
      </c>
      <c r="C112" s="62">
        <f t="shared" si="0"/>
        <v>0</v>
      </c>
      <c r="D112" s="62">
        <f t="shared" si="0"/>
        <v>0</v>
      </c>
      <c r="E112" s="63">
        <f>SUM(B112:D112)</f>
        <v>0</v>
      </c>
    </row>
    <row r="113" spans="1:5" ht="12.75" hidden="1" customHeight="1" outlineLevel="1" x14ac:dyDescent="0.2">
      <c r="A113" s="28" t="str">
        <f>"   "&amp;Labels!B112</f>
        <v xml:space="preserve">   Series A</v>
      </c>
      <c r="B113" s="62">
        <f t="shared" si="0"/>
        <v>0</v>
      </c>
      <c r="C113" s="62">
        <f t="shared" si="0"/>
        <v>0</v>
      </c>
      <c r="D113" s="62">
        <f t="shared" si="0"/>
        <v>0</v>
      </c>
      <c r="E113" s="63">
        <f>SUM(B113:D113)</f>
        <v>0</v>
      </c>
    </row>
    <row r="114" spans="1:5" ht="12.75" hidden="1" customHeight="1" outlineLevel="1" x14ac:dyDescent="0.2">
      <c r="A114" s="15" t="str">
        <f>"   "&amp;Labels!C110</f>
        <v xml:space="preserve">   Subtotal</v>
      </c>
      <c r="B114" s="64">
        <f>SUM(B112:B113)</f>
        <v>0</v>
      </c>
      <c r="C114" s="64">
        <f>SUM(C112:C113)</f>
        <v>0</v>
      </c>
      <c r="D114" s="64">
        <f>SUM(D112:D113)</f>
        <v>0</v>
      </c>
      <c r="E114" s="65">
        <f>SUM(E112:E113)</f>
        <v>0</v>
      </c>
    </row>
    <row r="115" spans="1:5" ht="12.75" hidden="1" customHeight="1" outlineLevel="1" x14ac:dyDescent="0.2"/>
    <row r="116" spans="1:5" ht="12.75" hidden="1" customHeight="1" outlineLevel="1" collapsed="1" x14ac:dyDescent="0.2"/>
    <row r="117" spans="1:5" ht="12.75" customHeight="1" collapsed="1" x14ac:dyDescent="0.2"/>
    <row r="118" spans="1:5" ht="12.75" customHeight="1" x14ac:dyDescent="0.2">
      <c r="A118" s="2" t="str">
        <f>"Firm Value"</f>
        <v>Firm Value</v>
      </c>
    </row>
    <row r="119" spans="1:5" ht="12.75" hidden="1" customHeight="1" outlineLevel="1" x14ac:dyDescent="0.2">
      <c r="A119" s="1" t="str">
        <f>" "</f>
        <v xml:space="preserve"> </v>
      </c>
    </row>
    <row r="120" spans="1:5" ht="12.75" hidden="1" customHeight="1" outlineLevel="1" x14ac:dyDescent="0.2">
      <c r="A120" s="11" t="str">
        <f>Labels!B25</f>
        <v>Firm Value</v>
      </c>
      <c r="B120" s="27"/>
    </row>
    <row r="121" spans="1:5" ht="12.75" hidden="1" customHeight="1" outlineLevel="1" x14ac:dyDescent="0.2">
      <c r="A121" s="28" t="str">
        <f>"   "&amp;Labels!B98</f>
        <v xml:space="preserve">   Seed</v>
      </c>
      <c r="B121" s="66">
        <f>1000000</f>
        <v>1000000</v>
      </c>
    </row>
    <row r="122" spans="1:5" ht="12.75" hidden="1" customHeight="1" outlineLevel="1" x14ac:dyDescent="0.2">
      <c r="A122" s="28" t="str">
        <f>"   "&amp;Labels!B99</f>
        <v xml:space="preserve">   Round A</v>
      </c>
      <c r="B122" s="66">
        <f>1000000</f>
        <v>1000000</v>
      </c>
    </row>
    <row r="123" spans="1:5" ht="12.75" hidden="1" customHeight="1" outlineLevel="1" x14ac:dyDescent="0.2">
      <c r="A123" s="35" t="str">
        <f>"   "&amp;Labels!B100</f>
        <v xml:space="preserve">   Exit</v>
      </c>
      <c r="B123" s="67">
        <f>1000000</f>
        <v>1000000</v>
      </c>
    </row>
    <row r="124" spans="1:5" ht="12.75" hidden="1" customHeight="1" outlineLevel="1" x14ac:dyDescent="0.2"/>
    <row r="125" spans="1:5" ht="12.75" hidden="1" customHeight="1" outlineLevel="1" collapsed="1" x14ac:dyDescent="0.2"/>
    <row r="126" spans="1:5" ht="12.75" customHeight="1" collapsed="1" x14ac:dyDescent="0.2"/>
  </sheetData>
  <mergeCells count="9">
    <mergeCell ref="A7:E7"/>
    <mergeCell ref="A15:F15"/>
    <mergeCell ref="A103:F103"/>
    <mergeCell ref="A1:D1"/>
    <mergeCell ref="A2:D2"/>
    <mergeCell ref="A3:D3"/>
    <mergeCell ref="A4:D4"/>
    <mergeCell ref="A5:D5"/>
    <mergeCell ref="A6:E6"/>
  </mergeCells>
  <pageMargins left="0.25" right="0.25" top="0.5" bottom="0.5" header="0.5" footer="0.5"/>
  <pageSetup paperSize="9" fitToHeight="32767" orientation="landscape"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F305"/>
  <sheetViews>
    <sheetView zoomScaleNormal="100" workbookViewId="0"/>
  </sheetViews>
  <sheetFormatPr defaultRowHeight="12.75" customHeight="1" outlineLevelRow="1" x14ac:dyDescent="0.2"/>
  <cols>
    <col min="1" max="1" width="25.7109375" customWidth="1"/>
    <col min="2" max="2" width="21.140625" customWidth="1"/>
    <col min="3" max="3" width="17.7109375" customWidth="1"/>
    <col min="4" max="4" width="17.5703125" customWidth="1"/>
    <col min="5" max="5" width="18.28515625" customWidth="1"/>
    <col min="6" max="6" width="14.85546875" customWidth="1"/>
  </cols>
  <sheetData>
    <row r="1" spans="1:6" ht="12.75" customHeight="1" x14ac:dyDescent="0.2">
      <c r="A1" s="261" t="str">
        <f>"Capitalization Table"</f>
        <v>Capitalization Table</v>
      </c>
      <c r="B1" s="261"/>
      <c r="C1" s="261"/>
      <c r="D1" s="261"/>
    </row>
    <row r="2" spans="1:6" ht="12.75" customHeight="1" x14ac:dyDescent="0.2">
      <c r="A2" s="261" t="str">
        <f>Inputs!B8</f>
        <v>ABC Corp.</v>
      </c>
      <c r="B2" s="261"/>
      <c r="C2" s="261"/>
      <c r="D2" s="261"/>
    </row>
    <row r="3" spans="1:6" ht="12.75" customHeight="1" x14ac:dyDescent="0.2">
      <c r="A3" s="261" t="str">
        <f>IF("Investment"="(Default Input)","Ignore this sheet in normal use.","Investment Scenario "&amp;1&amp;", Valuation Scenario "&amp;1)</f>
        <v>Investment Scenario 1, Valuation Scenario 1</v>
      </c>
      <c r="B3" s="261"/>
      <c r="C3" s="261"/>
      <c r="D3" s="261"/>
    </row>
    <row r="4" spans="1:6" ht="12.75" customHeight="1" x14ac:dyDescent="0.2">
      <c r="A4" s="261" t="str">
        <f>"Investment"</f>
        <v>Investment</v>
      </c>
      <c r="B4" s="261"/>
      <c r="C4" s="261"/>
      <c r="D4" s="261"/>
    </row>
    <row r="5" spans="1:6" ht="12.75" customHeight="1" x14ac:dyDescent="0.2">
      <c r="A5" s="261" t="str">
        <f>""</f>
        <v/>
      </c>
      <c r="B5" s="261"/>
      <c r="C5" s="261"/>
      <c r="D5" s="261"/>
    </row>
    <row r="6" spans="1:6" ht="12.75" customHeight="1" x14ac:dyDescent="0.2">
      <c r="A6" s="262" t="str">
        <f>"Return on Investment"</f>
        <v>Return on Investment</v>
      </c>
      <c r="B6" s="262"/>
    </row>
    <row r="7" spans="1:6" ht="12.75" hidden="1" customHeight="1" outlineLevel="1" x14ac:dyDescent="0.2">
      <c r="A7" s="1" t="str">
        <f>" "</f>
        <v xml:space="preserve"> </v>
      </c>
    </row>
    <row r="8" spans="1:6" ht="12.75" hidden="1" customHeight="1" outlineLevel="1" x14ac:dyDescent="0.2">
      <c r="A8" s="263" t="str">
        <f>"Investment and Payout"</f>
        <v>Investment and Payout</v>
      </c>
      <c r="B8" s="263"/>
    </row>
    <row r="9" spans="1:6" ht="12.75" hidden="1" customHeight="1" outlineLevel="1" x14ac:dyDescent="0.2">
      <c r="A9" s="263" t="str">
        <f>""</f>
        <v/>
      </c>
      <c r="B9" s="263"/>
    </row>
    <row r="10" spans="1:6" ht="12.75" hidden="1" customHeight="1" outlineLevel="1" x14ac:dyDescent="0.2">
      <c r="B10" s="6" t="str">
        <f>Labels!B29</f>
        <v>Invest by Origin ex-Div</v>
      </c>
      <c r="C10" s="7" t="str">
        <f>Labels!B17</f>
        <v>Dividend by Origin</v>
      </c>
      <c r="D10" s="7" t="str">
        <f>Labels!B56</f>
        <v>Payout by Origin</v>
      </c>
      <c r="E10" s="7" t="str">
        <f>Labels!B58</f>
        <v>Payout by Origin %</v>
      </c>
      <c r="F10" s="8" t="str">
        <f>Labels!B71</f>
        <v>Return Multiple</v>
      </c>
    </row>
    <row r="11" spans="1:6" ht="12.75" hidden="1" customHeight="1" outlineLevel="1" x14ac:dyDescent="0.2">
      <c r="A11" s="11" t="str">
        <f>Labels!B103</f>
        <v>Conv Note</v>
      </c>
      <c r="B11" s="26"/>
      <c r="C11" s="26"/>
      <c r="D11" s="26"/>
      <c r="E11" s="68"/>
      <c r="F11" s="69"/>
    </row>
    <row r="12" spans="1:6" ht="12.75" hidden="1" customHeight="1" outlineLevel="1" x14ac:dyDescent="0.2">
      <c r="A12" s="28" t="str">
        <f>"   "&amp;Labels!B104</f>
        <v xml:space="preserve">   Series B</v>
      </c>
      <c r="B12" s="70">
        <f>D190</f>
        <v>0</v>
      </c>
      <c r="C12" s="70">
        <f>'(Other Variables)'!D246</f>
        <v>0</v>
      </c>
      <c r="D12" s="70">
        <f>'(Other Variables)'!D274</f>
        <v>0</v>
      </c>
      <c r="E12" s="71">
        <f>'(Other Variables)'!D306</f>
        <v>0</v>
      </c>
      <c r="F12" s="72">
        <f>IF(D190+0*0=0,0,('(Other Variables)'!D274+SUM(B290:D290))/(D190+0*0))</f>
        <v>0</v>
      </c>
    </row>
    <row r="13" spans="1:6" ht="12.75" hidden="1" customHeight="1" outlineLevel="1" x14ac:dyDescent="0.2">
      <c r="A13" s="28" t="str">
        <f>"   "&amp;Labels!B105</f>
        <v xml:space="preserve">   Series A</v>
      </c>
      <c r="B13" s="70">
        <f>D191</f>
        <v>0</v>
      </c>
      <c r="C13" s="70">
        <f>'(Other Variables)'!D247</f>
        <v>0</v>
      </c>
      <c r="D13" s="70">
        <f>'(Other Variables)'!D275</f>
        <v>0</v>
      </c>
      <c r="E13" s="71">
        <f>'(Other Variables)'!D307</f>
        <v>0</v>
      </c>
      <c r="F13" s="72">
        <f>IF(D191+0*0=0,0,('(Other Variables)'!D275+SUM(B291:D291))/(D191+0*0))</f>
        <v>0</v>
      </c>
    </row>
    <row r="14" spans="1:6" ht="12.75" hidden="1" customHeight="1" outlineLevel="1" x14ac:dyDescent="0.2">
      <c r="A14" s="73" t="str">
        <f>"   "&amp;Labels!C103</f>
        <v xml:space="preserve">   Subtotal</v>
      </c>
      <c r="B14" s="74">
        <f>SUM(B12:B13)</f>
        <v>0</v>
      </c>
      <c r="C14" s="74">
        <f>SUM(C12:C13)</f>
        <v>0</v>
      </c>
      <c r="D14" s="74">
        <f>'(Other Variables)'!D276</f>
        <v>0</v>
      </c>
      <c r="E14" s="75">
        <f>'(Other Variables)'!D308</f>
        <v>0</v>
      </c>
      <c r="F14" s="76">
        <f>IF(D192+0*0=0,0,('(Other Variables)'!D276+SUM(B292:D292))/(D192+0*0))</f>
        <v>0</v>
      </c>
    </row>
    <row r="15" spans="1:6" ht="12.75" hidden="1" customHeight="1" outlineLevel="1" x14ac:dyDescent="0.2">
      <c r="A15" s="73" t="str">
        <f>Labels!B106</f>
        <v>Preferred</v>
      </c>
      <c r="B15" s="74"/>
      <c r="C15" s="74"/>
      <c r="D15" s="74"/>
      <c r="E15" s="75"/>
      <c r="F15" s="76"/>
    </row>
    <row r="16" spans="1:6" ht="12.75" hidden="1" customHeight="1" outlineLevel="1" x14ac:dyDescent="0.2">
      <c r="A16" s="28" t="str">
        <f>"   "&amp;Labels!B107</f>
        <v xml:space="preserve">   Series A</v>
      </c>
      <c r="B16" s="70">
        <f>D194</f>
        <v>0</v>
      </c>
      <c r="C16" s="70">
        <f>'(Other Variables)'!D250</f>
        <v>0</v>
      </c>
      <c r="D16" s="70">
        <f>'(Other Variables)'!D278</f>
        <v>0</v>
      </c>
      <c r="E16" s="71">
        <f>'(Other Variables)'!D310</f>
        <v>0</v>
      </c>
      <c r="F16" s="72">
        <f>IF(D194+0*0=0,0,('(Other Variables)'!D278+SUM(B294:D294))/(D194+0*0))</f>
        <v>0</v>
      </c>
    </row>
    <row r="17" spans="1:6" ht="12.75" hidden="1" customHeight="1" outlineLevel="1" x14ac:dyDescent="0.2">
      <c r="A17" s="73" t="str">
        <f>"   "&amp;Labels!C106</f>
        <v xml:space="preserve">   Subtotal</v>
      </c>
      <c r="B17" s="74">
        <f>B16</f>
        <v>0</v>
      </c>
      <c r="C17" s="74">
        <f>C16</f>
        <v>0</v>
      </c>
      <c r="D17" s="74">
        <f>'(Other Variables)'!D279</f>
        <v>0</v>
      </c>
      <c r="E17" s="75">
        <f>'(Other Variables)'!D311</f>
        <v>0</v>
      </c>
      <c r="F17" s="76">
        <f>IF(D195+0*0=0,0,('(Other Variables)'!D279+SUM(B295:D295))/(D195+0*0))</f>
        <v>0</v>
      </c>
    </row>
    <row r="18" spans="1:6" ht="12.75" hidden="1" customHeight="1" outlineLevel="1" x14ac:dyDescent="0.2">
      <c r="A18" s="73" t="str">
        <f>Labels!B108</f>
        <v>Common</v>
      </c>
      <c r="B18" s="74">
        <f>D196</f>
        <v>1</v>
      </c>
      <c r="C18" s="74">
        <f>'(Other Variables)'!D252</f>
        <v>0</v>
      </c>
      <c r="D18" s="74">
        <f>'(Other Variables)'!D280</f>
        <v>1000000</v>
      </c>
      <c r="E18" s="75">
        <f>'(Other Variables)'!D312</f>
        <v>1</v>
      </c>
      <c r="F18" s="76">
        <f>IF(D196+0*0=0,0,('(Other Variables)'!D280+SUM(B296:D296))/(D196+0*0))</f>
        <v>1000000</v>
      </c>
    </row>
    <row r="19" spans="1:6" ht="12.75" hidden="1" customHeight="1" outlineLevel="1" x14ac:dyDescent="0.2">
      <c r="A19" s="73" t="str">
        <f>Labels!B109</f>
        <v>Warrant</v>
      </c>
      <c r="B19" s="74">
        <f>D197</f>
        <v>0</v>
      </c>
      <c r="C19" s="74">
        <f>'(Other Variables)'!D253</f>
        <v>0</v>
      </c>
      <c r="D19" s="74">
        <f>'(Other Variables)'!D281</f>
        <v>0</v>
      </c>
      <c r="E19" s="75">
        <f>'(Other Variables)'!D313</f>
        <v>0</v>
      </c>
      <c r="F19" s="76">
        <f>IF(D197+0*0=0,0,('(Other Variables)'!D281+SUM(B297:D297))/(D197+0*0))</f>
        <v>0</v>
      </c>
    </row>
    <row r="20" spans="1:6" ht="12.75" hidden="1" customHeight="1" outlineLevel="1" x14ac:dyDescent="0.2">
      <c r="A20" s="73" t="str">
        <f>Labels!B110</f>
        <v>Option</v>
      </c>
      <c r="B20" s="74"/>
      <c r="C20" s="74"/>
      <c r="D20" s="74"/>
      <c r="E20" s="75"/>
      <c r="F20" s="76"/>
    </row>
    <row r="21" spans="1:6" ht="12.75" hidden="1" customHeight="1" outlineLevel="1" x14ac:dyDescent="0.2">
      <c r="A21" s="28" t="str">
        <f>"   "&amp;Labels!B111</f>
        <v xml:space="preserve">   Series B</v>
      </c>
      <c r="B21" s="70">
        <f>D199</f>
        <v>0</v>
      </c>
      <c r="C21" s="70">
        <f>'(Other Variables)'!D255</f>
        <v>0</v>
      </c>
      <c r="D21" s="70">
        <f>'(Other Variables)'!D283</f>
        <v>0</v>
      </c>
      <c r="E21" s="71">
        <f>'(Other Variables)'!D315</f>
        <v>0</v>
      </c>
      <c r="F21" s="72">
        <f>IF(D199+0*0=0,0,('(Other Variables)'!D283+SUM(B299:D299))/(D199+0*0))</f>
        <v>0</v>
      </c>
    </row>
    <row r="22" spans="1:6" ht="12.75" hidden="1" customHeight="1" outlineLevel="1" x14ac:dyDescent="0.2">
      <c r="A22" s="28" t="str">
        <f>"   "&amp;Labels!B112</f>
        <v xml:space="preserve">   Series A</v>
      </c>
      <c r="B22" s="70">
        <f>D200</f>
        <v>0</v>
      </c>
      <c r="C22" s="70">
        <f>'(Other Variables)'!D256</f>
        <v>0</v>
      </c>
      <c r="D22" s="70">
        <f>'(Other Variables)'!D284</f>
        <v>0</v>
      </c>
      <c r="E22" s="71">
        <f>'(Other Variables)'!D316</f>
        <v>0</v>
      </c>
      <c r="F22" s="72">
        <f>IF(D200+0*0=0,0,('(Other Variables)'!D284+SUM(B300:D300))/(D200+0*0))</f>
        <v>0</v>
      </c>
    </row>
    <row r="23" spans="1:6" ht="12.75" hidden="1" customHeight="1" outlineLevel="1" x14ac:dyDescent="0.2">
      <c r="A23" s="73" t="str">
        <f>"   "&amp;Labels!C110</f>
        <v xml:space="preserve">   Subtotal</v>
      </c>
      <c r="B23" s="74">
        <f>SUM(B21:B22)</f>
        <v>0</v>
      </c>
      <c r="C23" s="74">
        <f>SUM(C21:C22)</f>
        <v>0</v>
      </c>
      <c r="D23" s="74">
        <f>'(Other Variables)'!D285</f>
        <v>0</v>
      </c>
      <c r="E23" s="75">
        <f>'(Other Variables)'!D317</f>
        <v>0</v>
      </c>
      <c r="F23" s="76">
        <f>IF(D201+0*0=0,0,('(Other Variables)'!D285+SUM(B301:D301))/(D201+0*0))</f>
        <v>0</v>
      </c>
    </row>
    <row r="24" spans="1:6" ht="12.75" hidden="1" customHeight="1" outlineLevel="1" x14ac:dyDescent="0.2">
      <c r="A24" s="4" t="str">
        <f>Labels!C102</f>
        <v>Total</v>
      </c>
      <c r="B24" s="77">
        <f>SUM(B14,B17:B19,B23)</f>
        <v>1</v>
      </c>
      <c r="C24" s="77">
        <f>SUM(C14,C17:C19,C23)</f>
        <v>0</v>
      </c>
      <c r="D24" s="77">
        <f>'(Other Variables)'!D286</f>
        <v>1000000</v>
      </c>
      <c r="E24" s="78">
        <f>'(Other Variables)'!D318</f>
        <v>1</v>
      </c>
      <c r="F24" s="79">
        <f>IF(D202+0*0=0,0,('(Other Variables)'!D286+SUM(B302:D302))/(D202+0*0))</f>
        <v>1000000</v>
      </c>
    </row>
    <row r="25" spans="1:6" ht="12.75" hidden="1" customHeight="1" outlineLevel="1" x14ac:dyDescent="0.2"/>
    <row r="26" spans="1:6" ht="12.75" hidden="1" customHeight="1" outlineLevel="1" x14ac:dyDescent="0.2"/>
    <row r="27" spans="1:6" ht="12.75" hidden="1" customHeight="1" outlineLevel="1" x14ac:dyDescent="0.2">
      <c r="A27" s="263" t="str">
        <f>"Measures of Return"</f>
        <v>Measures of Return</v>
      </c>
      <c r="B27" s="263"/>
    </row>
    <row r="28" spans="1:6" ht="12.75" hidden="1" customHeight="1" outlineLevel="1" x14ac:dyDescent="0.2">
      <c r="A28" s="263" t="str">
        <f>""</f>
        <v/>
      </c>
      <c r="B28" s="263"/>
    </row>
    <row r="29" spans="1:6" ht="12.75" hidden="1" customHeight="1" outlineLevel="1" x14ac:dyDescent="0.2">
      <c r="B29" s="6" t="str">
        <f>Labels!B46</f>
        <v>IRR (Yr)</v>
      </c>
      <c r="C29" s="7" t="str">
        <f>Labels!B51</f>
        <v>Net Present Value</v>
      </c>
      <c r="D29" s="8" t="str">
        <f>Labels!B14</f>
        <v>Discount Rate (Yr)</v>
      </c>
    </row>
    <row r="30" spans="1:6" ht="12.75" hidden="1" customHeight="1" outlineLevel="1" x14ac:dyDescent="0.2">
      <c r="A30" s="11" t="str">
        <f>Labels!B103</f>
        <v>Conv Note</v>
      </c>
      <c r="B30" s="80"/>
      <c r="C30" s="26"/>
      <c r="D30" s="81"/>
    </row>
    <row r="31" spans="1:6" ht="12.75" hidden="1" customHeight="1" outlineLevel="1" x14ac:dyDescent="0.2">
      <c r="A31" s="28" t="str">
        <f>"   "&amp;Labels!B104</f>
        <v xml:space="preserve">   Series B</v>
      </c>
      <c r="B31" s="82" t="e">
        <f>XIRR('(Other Variables)'!B322:D322,B209:D209,Inputs!C33)</f>
        <v>#NUM!</v>
      </c>
      <c r="C31" s="70">
        <f>(-XNPV(D31,'(Other Variables)'!B322:D322,B209:D209))</f>
        <v>0</v>
      </c>
      <c r="D31" s="83">
        <f>Inputs!B33</f>
        <v>0.3</v>
      </c>
    </row>
    <row r="32" spans="1:6" ht="12.75" hidden="1" customHeight="1" outlineLevel="1" x14ac:dyDescent="0.2">
      <c r="A32" s="28" t="str">
        <f>"   "&amp;Labels!B105</f>
        <v xml:space="preserve">   Series A</v>
      </c>
      <c r="B32" s="82" t="e">
        <f>XIRR('(Other Variables)'!B323:D323,B209:D209,Inputs!C34)</f>
        <v>#NUM!</v>
      </c>
      <c r="C32" s="70">
        <f>(-XNPV(D32,'(Other Variables)'!B323:D323,B209:D209))</f>
        <v>0</v>
      </c>
      <c r="D32" s="83">
        <f>Inputs!B34</f>
        <v>0.3</v>
      </c>
    </row>
    <row r="33" spans="1:4" ht="12.75" hidden="1" customHeight="1" outlineLevel="1" x14ac:dyDescent="0.2">
      <c r="A33" s="73" t="str">
        <f>"   "&amp;Labels!C103</f>
        <v xml:space="preserve">   Subtotal</v>
      </c>
      <c r="B33" s="84" t="e">
        <f>XIRR('(Other Variables)'!B324:D324,B209:D209,Boneyard!B82)</f>
        <v>#NUM!</v>
      </c>
      <c r="C33" s="74">
        <f>SUM(C31:C32)</f>
        <v>0</v>
      </c>
      <c r="D33" s="85" t="str">
        <f>" "</f>
        <v xml:space="preserve"> </v>
      </c>
    </row>
    <row r="34" spans="1:4" ht="12.75" hidden="1" customHeight="1" outlineLevel="1" x14ac:dyDescent="0.2">
      <c r="A34" s="73" t="str">
        <f>Labels!B106</f>
        <v>Preferred</v>
      </c>
      <c r="B34" s="84"/>
      <c r="C34" s="74"/>
      <c r="D34" s="85"/>
    </row>
    <row r="35" spans="1:4" ht="12.75" hidden="1" customHeight="1" outlineLevel="1" x14ac:dyDescent="0.2">
      <c r="A35" s="28" t="str">
        <f>"   "&amp;Labels!B107</f>
        <v xml:space="preserve">   Series A</v>
      </c>
      <c r="B35" s="82" t="e">
        <f>XIRR('(Other Variables)'!B326:D326,B209:D209,Inputs!C61)</f>
        <v>#NUM!</v>
      </c>
      <c r="C35" s="70">
        <f>(-XNPV(D35,'(Other Variables)'!B326:D326,B209:D209))</f>
        <v>0</v>
      </c>
      <c r="D35" s="83">
        <f>Inputs!B61</f>
        <v>0.3</v>
      </c>
    </row>
    <row r="36" spans="1:4" ht="12.75" hidden="1" customHeight="1" outlineLevel="1" x14ac:dyDescent="0.2">
      <c r="A36" s="73" t="str">
        <f>"   "&amp;Labels!C106</f>
        <v xml:space="preserve">   Subtotal</v>
      </c>
      <c r="B36" s="84" t="e">
        <f>XIRR('(Other Variables)'!B327:D327,B209:D209,Boneyard!B85)</f>
        <v>#NUM!</v>
      </c>
      <c r="C36" s="74">
        <f>C35</f>
        <v>0</v>
      </c>
      <c r="D36" s="85" t="str">
        <f>" "</f>
        <v xml:space="preserve"> </v>
      </c>
    </row>
    <row r="37" spans="1:4" ht="12.75" hidden="1" customHeight="1" outlineLevel="1" x14ac:dyDescent="0.2">
      <c r="A37" s="73" t="str">
        <f>Labels!B108</f>
        <v>Common</v>
      </c>
      <c r="B37" s="84">
        <f>XIRR('(Other Variables)'!B328:D328,B209:D209,Inputs!C80)</f>
        <v>1855.3365631103516</v>
      </c>
      <c r="C37" s="74">
        <f>(-XNPV(D37,'(Other Variables)'!B328:D328,B209:D209))</f>
        <v>617793.03319526685</v>
      </c>
      <c r="D37" s="85">
        <f>Inputs!B80</f>
        <v>0.3</v>
      </c>
    </row>
    <row r="38" spans="1:4" ht="12.75" hidden="1" customHeight="1" outlineLevel="1" x14ac:dyDescent="0.2">
      <c r="A38" s="73" t="str">
        <f>Labels!B109</f>
        <v>Warrant</v>
      </c>
      <c r="B38" s="84" t="e">
        <f>XIRR('(Other Variables)'!B329:D329,B209:D209,Boneyard!B87)</f>
        <v>#NUM!</v>
      </c>
      <c r="C38" s="74">
        <f>(-XNPV(D38,'(Other Variables)'!B329:D329,B209:D209))</f>
        <v>0</v>
      </c>
      <c r="D38" s="86">
        <f>0.3</f>
        <v>0.3</v>
      </c>
    </row>
    <row r="39" spans="1:4" ht="12.75" hidden="1" customHeight="1" outlineLevel="1" x14ac:dyDescent="0.2">
      <c r="A39" s="73" t="str">
        <f>Labels!B110</f>
        <v>Option</v>
      </c>
      <c r="B39" s="84"/>
      <c r="C39" s="74"/>
      <c r="D39" s="85"/>
    </row>
    <row r="40" spans="1:4" ht="12.75" hidden="1" customHeight="1" outlineLevel="1" x14ac:dyDescent="0.2">
      <c r="A40" s="28" t="str">
        <f>"   "&amp;Labels!B111</f>
        <v xml:space="preserve">   Series B</v>
      </c>
      <c r="B40" s="82" t="e">
        <f>XIRR('(Other Variables)'!B331:D331,B209:D209,Inputs!C107)</f>
        <v>#NUM!</v>
      </c>
      <c r="C40" s="70">
        <f>(-XNPV(D40,'(Other Variables)'!B331:D331,B209:D209))</f>
        <v>0</v>
      </c>
      <c r="D40" s="83">
        <f>Inputs!B107</f>
        <v>0.3</v>
      </c>
    </row>
    <row r="41" spans="1:4" ht="12.75" hidden="1" customHeight="1" outlineLevel="1" x14ac:dyDescent="0.2">
      <c r="A41" s="28" t="str">
        <f>"   "&amp;Labels!B112</f>
        <v xml:space="preserve">   Series A</v>
      </c>
      <c r="B41" s="82" t="e">
        <f>XIRR('(Other Variables)'!B332:D332,B209:D209,Inputs!C108)</f>
        <v>#NUM!</v>
      </c>
      <c r="C41" s="70">
        <f>(-XNPV(D41,'(Other Variables)'!B332:D332,B209:D209))</f>
        <v>0</v>
      </c>
      <c r="D41" s="83">
        <f>Inputs!B108</f>
        <v>0.3</v>
      </c>
    </row>
    <row r="42" spans="1:4" ht="12.75" hidden="1" customHeight="1" outlineLevel="1" x14ac:dyDescent="0.2">
      <c r="A42" s="73" t="str">
        <f>"   "&amp;Labels!C110</f>
        <v xml:space="preserve">   Subtotal</v>
      </c>
      <c r="B42" s="84" t="e">
        <f>XIRR('(Other Variables)'!B333:D333,B209:D209,Boneyard!B91)</f>
        <v>#NUM!</v>
      </c>
      <c r="C42" s="74">
        <f>SUM(C40:C41)</f>
        <v>0</v>
      </c>
      <c r="D42" s="85" t="str">
        <f>" "</f>
        <v xml:space="preserve"> </v>
      </c>
    </row>
    <row r="43" spans="1:4" ht="12.75" hidden="1" customHeight="1" outlineLevel="1" x14ac:dyDescent="0.2">
      <c r="A43" s="4" t="str">
        <f>Labels!C102</f>
        <v>Total</v>
      </c>
      <c r="B43" s="87">
        <f>XIRR('(Other Variables)'!B334:D334,B209:D209,Boneyard!B92)</f>
        <v>1855.3365631103516</v>
      </c>
      <c r="C43" s="77">
        <f>SUM(C33,C36:C38,C42)</f>
        <v>617793.03319526685</v>
      </c>
      <c r="D43" s="88" t="str">
        <f>" "</f>
        <v xml:space="preserve"> </v>
      </c>
    </row>
    <row r="44" spans="1:4" ht="12.75" hidden="1" customHeight="1" outlineLevel="1" x14ac:dyDescent="0.2"/>
    <row r="45" spans="1:4" ht="12.75" hidden="1" customHeight="1" outlineLevel="1" collapsed="1" x14ac:dyDescent="0.2"/>
    <row r="46" spans="1:4" ht="12.75" customHeight="1" collapsed="1" x14ac:dyDescent="0.2"/>
    <row r="47" spans="1:4" ht="12.75" customHeight="1" x14ac:dyDescent="0.2">
      <c r="A47" s="262" t="str">
        <f>"Investment by Origin"</f>
        <v>Investment by Origin</v>
      </c>
      <c r="B47" s="262"/>
    </row>
    <row r="48" spans="1:4" ht="12.75" hidden="1" customHeight="1" outlineLevel="1" x14ac:dyDescent="0.2">
      <c r="A48" s="1" t="str">
        <f>" "</f>
        <v xml:space="preserve"> </v>
      </c>
    </row>
    <row r="49" spans="1:5" ht="12.75" hidden="1" customHeight="1" outlineLevel="1" x14ac:dyDescent="0.2">
      <c r="B49" s="6" t="str">
        <f>Labels!B98</f>
        <v>Seed</v>
      </c>
      <c r="C49" s="7" t="str">
        <f>Labels!B99</f>
        <v>Round A</v>
      </c>
      <c r="D49" s="7" t="str">
        <f>Labels!B100</f>
        <v>Exit</v>
      </c>
      <c r="E49" s="25" t="str">
        <f>Labels!C97</f>
        <v>Total</v>
      </c>
    </row>
    <row r="50" spans="1:5" ht="12.75" hidden="1" customHeight="1" outlineLevel="1" x14ac:dyDescent="0.2">
      <c r="A50" s="11" t="str">
        <f>Labels!B38</f>
        <v>Investment by Origin</v>
      </c>
      <c r="B50" s="26"/>
      <c r="C50" s="26"/>
      <c r="D50" s="26"/>
      <c r="E50" s="27"/>
    </row>
    <row r="51" spans="1:5" ht="12.75" hidden="1" customHeight="1" outlineLevel="1" x14ac:dyDescent="0.2">
      <c r="A51" s="28" t="str">
        <f>"   "&amp;Labels!B91</f>
        <v xml:space="preserve">   Start</v>
      </c>
      <c r="B51" s="70"/>
      <c r="C51" s="70"/>
      <c r="D51" s="70"/>
      <c r="E51" s="30"/>
    </row>
    <row r="52" spans="1:5" ht="12.75" hidden="1" customHeight="1" outlineLevel="1" x14ac:dyDescent="0.2">
      <c r="A52" s="89" t="str">
        <f>"      "&amp;Labels!B103</f>
        <v xml:space="preserve">      Conv Note</v>
      </c>
      <c r="B52" s="90"/>
      <c r="C52" s="90"/>
      <c r="D52" s="90"/>
      <c r="E52" s="30"/>
    </row>
    <row r="53" spans="1:5" ht="12.75" hidden="1" customHeight="1" outlineLevel="1" x14ac:dyDescent="0.2">
      <c r="A53" s="89" t="str">
        <f>"         "&amp;Labels!B104</f>
        <v xml:space="preserve">         Series B</v>
      </c>
      <c r="B53" s="91">
        <f>0+B290</f>
        <v>0</v>
      </c>
      <c r="C53" s="91">
        <f>B113+C290</f>
        <v>0</v>
      </c>
      <c r="D53" s="91">
        <f>C113+D290</f>
        <v>0</v>
      </c>
      <c r="E53" s="30">
        <f>SUM(B53:D53)</f>
        <v>0</v>
      </c>
    </row>
    <row r="54" spans="1:5" ht="12.75" hidden="1" customHeight="1" outlineLevel="1" x14ac:dyDescent="0.2">
      <c r="A54" s="89" t="str">
        <f>"         "&amp;Labels!B105</f>
        <v xml:space="preserve">         Series A</v>
      </c>
      <c r="B54" s="91">
        <f>0+B291</f>
        <v>0</v>
      </c>
      <c r="C54" s="91">
        <f>B114+C291</f>
        <v>0</v>
      </c>
      <c r="D54" s="91">
        <f>C114+D291</f>
        <v>0</v>
      </c>
      <c r="E54" s="30">
        <f>SUM(B54:D54)</f>
        <v>0</v>
      </c>
    </row>
    <row r="55" spans="1:5" ht="12.75" hidden="1" customHeight="1" outlineLevel="1" x14ac:dyDescent="0.2">
      <c r="A55" s="89" t="str">
        <f>"         "&amp;Labels!C103</f>
        <v xml:space="preserve">         Subtotal</v>
      </c>
      <c r="B55" s="90">
        <f>SUM(B53:B54)</f>
        <v>0</v>
      </c>
      <c r="C55" s="90">
        <f>SUM(C53:C54)</f>
        <v>0</v>
      </c>
      <c r="D55" s="90">
        <f>SUM(D53:D54)</f>
        <v>0</v>
      </c>
      <c r="E55" s="30">
        <f>SUM(E53:E54)</f>
        <v>0</v>
      </c>
    </row>
    <row r="56" spans="1:5" ht="12.75" hidden="1" customHeight="1" outlineLevel="1" x14ac:dyDescent="0.2">
      <c r="A56" s="89" t="str">
        <f>"      "&amp;Labels!B106</f>
        <v xml:space="preserve">      Preferred</v>
      </c>
      <c r="B56" s="90"/>
      <c r="C56" s="90"/>
      <c r="D56" s="90"/>
      <c r="E56" s="30"/>
    </row>
    <row r="57" spans="1:5" ht="12.75" hidden="1" customHeight="1" outlineLevel="1" x14ac:dyDescent="0.2">
      <c r="A57" s="89" t="str">
        <f>"         "&amp;Labels!B107</f>
        <v xml:space="preserve">         Series A</v>
      </c>
      <c r="B57" s="91">
        <f>0+B294</f>
        <v>0</v>
      </c>
      <c r="C57" s="91">
        <f>B117+C294</f>
        <v>0</v>
      </c>
      <c r="D57" s="91">
        <f>C117+D294</f>
        <v>0</v>
      </c>
      <c r="E57" s="30">
        <f>SUM(B57:D57)</f>
        <v>0</v>
      </c>
    </row>
    <row r="58" spans="1:5" ht="12.75" hidden="1" customHeight="1" outlineLevel="1" x14ac:dyDescent="0.2">
      <c r="A58" s="89" t="str">
        <f>"         "&amp;Labels!C106</f>
        <v xml:space="preserve">         Subtotal</v>
      </c>
      <c r="B58" s="90">
        <f>B57</f>
        <v>0</v>
      </c>
      <c r="C58" s="90">
        <f>C57</f>
        <v>0</v>
      </c>
      <c r="D58" s="90">
        <f>D57</f>
        <v>0</v>
      </c>
      <c r="E58" s="30">
        <f>E57</f>
        <v>0</v>
      </c>
    </row>
    <row r="59" spans="1:5" ht="12.75" hidden="1" customHeight="1" outlineLevel="1" x14ac:dyDescent="0.2">
      <c r="A59" s="89" t="str">
        <f>"      "&amp;Labels!B108</f>
        <v xml:space="preserve">      Common</v>
      </c>
      <c r="B59" s="90">
        <f>0+B296</f>
        <v>0</v>
      </c>
      <c r="C59" s="90">
        <f>B119+C296</f>
        <v>1</v>
      </c>
      <c r="D59" s="90">
        <f>C119+D296</f>
        <v>1</v>
      </c>
      <c r="E59" s="30">
        <f>SUM(B59:D59)</f>
        <v>2</v>
      </c>
    </row>
    <row r="60" spans="1:5" ht="12.75" hidden="1" customHeight="1" outlineLevel="1" x14ac:dyDescent="0.2">
      <c r="A60" s="89" t="str">
        <f>"      "&amp;Labels!B109</f>
        <v xml:space="preserve">      Warrant</v>
      </c>
      <c r="B60" s="90">
        <f>0+B297</f>
        <v>0</v>
      </c>
      <c r="C60" s="90">
        <f>B120+C297</f>
        <v>0</v>
      </c>
      <c r="D60" s="90">
        <f>C120+D297</f>
        <v>0</v>
      </c>
      <c r="E60" s="30">
        <f>SUM(B60:D60)</f>
        <v>0</v>
      </c>
    </row>
    <row r="61" spans="1:5" ht="12.75" hidden="1" customHeight="1" outlineLevel="1" x14ac:dyDescent="0.2">
      <c r="A61" s="89" t="str">
        <f>"      "&amp;Labels!B110</f>
        <v xml:space="preserve">      Option</v>
      </c>
      <c r="B61" s="90"/>
      <c r="C61" s="90"/>
      <c r="D61" s="90"/>
      <c r="E61" s="30"/>
    </row>
    <row r="62" spans="1:5" ht="12.75" hidden="1" customHeight="1" outlineLevel="1" x14ac:dyDescent="0.2">
      <c r="A62" s="89" t="str">
        <f>"         "&amp;Labels!B111</f>
        <v xml:space="preserve">         Series B</v>
      </c>
      <c r="B62" s="91">
        <f>0+B299</f>
        <v>0</v>
      </c>
      <c r="C62" s="91">
        <f>B122+C299</f>
        <v>0</v>
      </c>
      <c r="D62" s="91">
        <f>C122+D299</f>
        <v>0</v>
      </c>
      <c r="E62" s="30">
        <f>SUM(B62:D62)</f>
        <v>0</v>
      </c>
    </row>
    <row r="63" spans="1:5" ht="12.75" hidden="1" customHeight="1" outlineLevel="1" x14ac:dyDescent="0.2">
      <c r="A63" s="89" t="str">
        <f>"         "&amp;Labels!B112</f>
        <v xml:space="preserve">         Series A</v>
      </c>
      <c r="B63" s="91">
        <f>0+B300</f>
        <v>0</v>
      </c>
      <c r="C63" s="91">
        <f>B123+C300</f>
        <v>0</v>
      </c>
      <c r="D63" s="91">
        <f>C123+D300</f>
        <v>0</v>
      </c>
      <c r="E63" s="30">
        <f>SUM(B63:D63)</f>
        <v>0</v>
      </c>
    </row>
    <row r="64" spans="1:5" ht="12.75" hidden="1" customHeight="1" outlineLevel="1" x14ac:dyDescent="0.2">
      <c r="A64" s="89" t="str">
        <f>"         "&amp;Labels!C110</f>
        <v xml:space="preserve">         Subtotal</v>
      </c>
      <c r="B64" s="90">
        <f>SUM(B62:B63)</f>
        <v>0</v>
      </c>
      <c r="C64" s="90">
        <f>SUM(C62:C63)</f>
        <v>0</v>
      </c>
      <c r="D64" s="90">
        <f>SUM(D62:D63)</f>
        <v>0</v>
      </c>
      <c r="E64" s="30">
        <f>SUM(E62:E63)</f>
        <v>0</v>
      </c>
    </row>
    <row r="65" spans="1:5" ht="12.75" hidden="1" customHeight="1" outlineLevel="1" x14ac:dyDescent="0.2">
      <c r="A65" s="28" t="str">
        <f>"      "&amp;Labels!C102</f>
        <v xml:space="preserve">      Total</v>
      </c>
      <c r="B65" s="70">
        <f>SUM(B55,B58:B60,B64)</f>
        <v>0</v>
      </c>
      <c r="C65" s="70">
        <f>SUM(C55,C58:C60,C64)</f>
        <v>1</v>
      </c>
      <c r="D65" s="70">
        <f>SUM(D55,D58:D60,D64)</f>
        <v>1</v>
      </c>
      <c r="E65" s="30">
        <f>SUM(E55,E58:E60,E64)</f>
        <v>2</v>
      </c>
    </row>
    <row r="66" spans="1:5" ht="12.75" hidden="1" customHeight="1" outlineLevel="1" x14ac:dyDescent="0.2">
      <c r="A66" s="28" t="str">
        <f>"   "&amp;Labels!B92</f>
        <v xml:space="preserve">   New Sales</v>
      </c>
      <c r="B66" s="70"/>
      <c r="C66" s="70"/>
      <c r="D66" s="70"/>
      <c r="E66" s="30"/>
    </row>
    <row r="67" spans="1:5" ht="12.75" hidden="1" customHeight="1" outlineLevel="1" x14ac:dyDescent="0.2">
      <c r="A67" s="89" t="str">
        <f>"      "&amp;Labels!B103</f>
        <v xml:space="preserve">      Conv Note</v>
      </c>
      <c r="B67" s="90"/>
      <c r="C67" s="90"/>
      <c r="D67" s="90"/>
      <c r="E67" s="30"/>
    </row>
    <row r="68" spans="1:5" ht="12.75" hidden="1" customHeight="1" outlineLevel="1" x14ac:dyDescent="0.2">
      <c r="A68" s="89" t="str">
        <f>"         "&amp;Labels!B104</f>
        <v xml:space="preserve">         Series B</v>
      </c>
      <c r="B68" s="91">
        <f t="shared" ref="B68:D69" si="0">B229</f>
        <v>0</v>
      </c>
      <c r="C68" s="91">
        <f t="shared" si="0"/>
        <v>0</v>
      </c>
      <c r="D68" s="91">
        <f t="shared" si="0"/>
        <v>0</v>
      </c>
      <c r="E68" s="30">
        <f>SUM(B68:D68)</f>
        <v>0</v>
      </c>
    </row>
    <row r="69" spans="1:5" ht="12.75" hidden="1" customHeight="1" outlineLevel="1" x14ac:dyDescent="0.2">
      <c r="A69" s="89" t="str">
        <f>"         "&amp;Labels!B105</f>
        <v xml:space="preserve">         Series A</v>
      </c>
      <c r="B69" s="91">
        <f t="shared" si="0"/>
        <v>0</v>
      </c>
      <c r="C69" s="91">
        <f t="shared" si="0"/>
        <v>0</v>
      </c>
      <c r="D69" s="91">
        <f t="shared" si="0"/>
        <v>0</v>
      </c>
      <c r="E69" s="30">
        <f>SUM(B69:D69)</f>
        <v>0</v>
      </c>
    </row>
    <row r="70" spans="1:5" ht="12.75" hidden="1" customHeight="1" outlineLevel="1" x14ac:dyDescent="0.2">
      <c r="A70" s="89" t="str">
        <f>"         "&amp;Labels!C103</f>
        <v xml:space="preserve">         Subtotal</v>
      </c>
      <c r="B70" s="90">
        <f>SUM(B68:B69)</f>
        <v>0</v>
      </c>
      <c r="C70" s="90">
        <f>SUM(C68:C69)</f>
        <v>0</v>
      </c>
      <c r="D70" s="90">
        <f>SUM(D68:D69)</f>
        <v>0</v>
      </c>
      <c r="E70" s="30">
        <f>SUM(E68:E69)</f>
        <v>0</v>
      </c>
    </row>
    <row r="71" spans="1:5" ht="12.75" hidden="1" customHeight="1" outlineLevel="1" x14ac:dyDescent="0.2">
      <c r="A71" s="89" t="str">
        <f>"      "&amp;Labels!B106</f>
        <v xml:space="preserve">      Preferred</v>
      </c>
      <c r="B71" s="90"/>
      <c r="C71" s="90"/>
      <c r="D71" s="90"/>
      <c r="E71" s="30"/>
    </row>
    <row r="72" spans="1:5" ht="12.75" hidden="1" customHeight="1" outlineLevel="1" x14ac:dyDescent="0.2">
      <c r="A72" s="89" t="str">
        <f>"         "&amp;Labels!B107</f>
        <v xml:space="preserve">         Series A</v>
      </c>
      <c r="B72" s="91">
        <f>B233</f>
        <v>0</v>
      </c>
      <c r="C72" s="91">
        <f>C233</f>
        <v>0</v>
      </c>
      <c r="D72" s="91">
        <f>D233</f>
        <v>0</v>
      </c>
      <c r="E72" s="30">
        <f>SUM(B72:D72)</f>
        <v>0</v>
      </c>
    </row>
    <row r="73" spans="1:5" ht="12.75" hidden="1" customHeight="1" outlineLevel="1" x14ac:dyDescent="0.2">
      <c r="A73" s="89" t="str">
        <f>"         "&amp;Labels!C106</f>
        <v xml:space="preserve">         Subtotal</v>
      </c>
      <c r="B73" s="90">
        <f>B72</f>
        <v>0</v>
      </c>
      <c r="C73" s="90">
        <f>C72</f>
        <v>0</v>
      </c>
      <c r="D73" s="90">
        <f>D72</f>
        <v>0</v>
      </c>
      <c r="E73" s="30">
        <f>E72</f>
        <v>0</v>
      </c>
    </row>
    <row r="74" spans="1:5" ht="12.75" hidden="1" customHeight="1" outlineLevel="1" x14ac:dyDescent="0.2">
      <c r="A74" s="89" t="str">
        <f>"      "&amp;Labels!B108</f>
        <v xml:space="preserve">      Common</v>
      </c>
      <c r="B74" s="90">
        <f t="shared" ref="B74:D75" si="1">B235</f>
        <v>1</v>
      </c>
      <c r="C74" s="90">
        <f t="shared" si="1"/>
        <v>0</v>
      </c>
      <c r="D74" s="90">
        <f t="shared" si="1"/>
        <v>0</v>
      </c>
      <c r="E74" s="30">
        <f>SUM(B74:D74)</f>
        <v>1</v>
      </c>
    </row>
    <row r="75" spans="1:5" ht="12.75" hidden="1" customHeight="1" outlineLevel="1" x14ac:dyDescent="0.2">
      <c r="A75" s="89" t="str">
        <f>"      "&amp;Labels!B109</f>
        <v xml:space="preserve">      Warrant</v>
      </c>
      <c r="B75" s="90">
        <f t="shared" si="1"/>
        <v>0</v>
      </c>
      <c r="C75" s="90">
        <f t="shared" si="1"/>
        <v>0</v>
      </c>
      <c r="D75" s="90">
        <f t="shared" si="1"/>
        <v>0</v>
      </c>
      <c r="E75" s="30">
        <f>SUM(B75:D75)</f>
        <v>0</v>
      </c>
    </row>
    <row r="76" spans="1:5" ht="12.75" hidden="1" customHeight="1" outlineLevel="1" x14ac:dyDescent="0.2">
      <c r="A76" s="89" t="str">
        <f>"      "&amp;Labels!B110</f>
        <v xml:space="preserve">      Option</v>
      </c>
      <c r="B76" s="90"/>
      <c r="C76" s="90"/>
      <c r="D76" s="90"/>
      <c r="E76" s="30"/>
    </row>
    <row r="77" spans="1:5" ht="12.75" hidden="1" customHeight="1" outlineLevel="1" x14ac:dyDescent="0.2">
      <c r="A77" s="89" t="str">
        <f>"         "&amp;Labels!B111</f>
        <v xml:space="preserve">         Series B</v>
      </c>
      <c r="B77" s="91">
        <f t="shared" ref="B77:D78" si="2">B238</f>
        <v>0</v>
      </c>
      <c r="C77" s="91">
        <f t="shared" si="2"/>
        <v>0</v>
      </c>
      <c r="D77" s="91">
        <f t="shared" si="2"/>
        <v>0</v>
      </c>
      <c r="E77" s="30">
        <f>SUM(B77:D77)</f>
        <v>0</v>
      </c>
    </row>
    <row r="78" spans="1:5" ht="12.75" hidden="1" customHeight="1" outlineLevel="1" x14ac:dyDescent="0.2">
      <c r="A78" s="89" t="str">
        <f>"         "&amp;Labels!B112</f>
        <v xml:space="preserve">         Series A</v>
      </c>
      <c r="B78" s="91">
        <f t="shared" si="2"/>
        <v>0</v>
      </c>
      <c r="C78" s="91">
        <f t="shared" si="2"/>
        <v>0</v>
      </c>
      <c r="D78" s="91">
        <f t="shared" si="2"/>
        <v>0</v>
      </c>
      <c r="E78" s="30">
        <f>SUM(B78:D78)</f>
        <v>0</v>
      </c>
    </row>
    <row r="79" spans="1:5" ht="12.75" hidden="1" customHeight="1" outlineLevel="1" x14ac:dyDescent="0.2">
      <c r="A79" s="89" t="str">
        <f>"         "&amp;Labels!C110</f>
        <v xml:space="preserve">         Subtotal</v>
      </c>
      <c r="B79" s="90">
        <f>SUM(B77:B78)</f>
        <v>0</v>
      </c>
      <c r="C79" s="90">
        <f>SUM(C77:C78)</f>
        <v>0</v>
      </c>
      <c r="D79" s="90">
        <f>SUM(D77:D78)</f>
        <v>0</v>
      </c>
      <c r="E79" s="30">
        <f>SUM(E77:E78)</f>
        <v>0</v>
      </c>
    </row>
    <row r="80" spans="1:5" ht="12.75" hidden="1" customHeight="1" outlineLevel="1" x14ac:dyDescent="0.2">
      <c r="A80" s="28" t="str">
        <f>"      "&amp;Labels!C102</f>
        <v xml:space="preserve">      Total</v>
      </c>
      <c r="B80" s="70">
        <f>SUM(B70,B73:B75,B79)</f>
        <v>1</v>
      </c>
      <c r="C80" s="70">
        <f>SUM(C70,C73:C75,C79)</f>
        <v>0</v>
      </c>
      <c r="D80" s="70">
        <f>SUM(D70,D73:D75,D79)</f>
        <v>0</v>
      </c>
      <c r="E80" s="30">
        <f>SUM(E70,E73:E75,E79)</f>
        <v>1</v>
      </c>
    </row>
    <row r="81" spans="1:5" ht="12.75" hidden="1" customHeight="1" outlineLevel="1" x14ac:dyDescent="0.2">
      <c r="A81" s="28" t="str">
        <f>"   "&amp;Labels!B93</f>
        <v xml:space="preserve">   Post Sales</v>
      </c>
      <c r="B81" s="70"/>
      <c r="C81" s="70"/>
      <c r="D81" s="70"/>
      <c r="E81" s="30"/>
    </row>
    <row r="82" spans="1:5" ht="12.75" hidden="1" customHeight="1" outlineLevel="1" x14ac:dyDescent="0.2">
      <c r="A82" s="89" t="str">
        <f>"      "&amp;Labels!B103</f>
        <v xml:space="preserve">      Conv Note</v>
      </c>
      <c r="B82" s="90"/>
      <c r="C82" s="90"/>
      <c r="D82" s="90"/>
      <c r="E82" s="30"/>
    </row>
    <row r="83" spans="1:5" ht="12.75" hidden="1" customHeight="1" outlineLevel="1" x14ac:dyDescent="0.2">
      <c r="A83" s="89" t="str">
        <f>"         "&amp;Labels!B104</f>
        <v xml:space="preserve">         Series B</v>
      </c>
      <c r="B83" s="91">
        <f t="shared" ref="B83:D84" si="3">B53+B68</f>
        <v>0</v>
      </c>
      <c r="C83" s="91">
        <f t="shared" si="3"/>
        <v>0</v>
      </c>
      <c r="D83" s="91">
        <f t="shared" si="3"/>
        <v>0</v>
      </c>
      <c r="E83" s="30">
        <f>SUM(B83:D83)</f>
        <v>0</v>
      </c>
    </row>
    <row r="84" spans="1:5" ht="12.75" hidden="1" customHeight="1" outlineLevel="1" x14ac:dyDescent="0.2">
      <c r="A84" s="89" t="str">
        <f>"         "&amp;Labels!B105</f>
        <v xml:space="preserve">         Series A</v>
      </c>
      <c r="B84" s="91">
        <f t="shared" si="3"/>
        <v>0</v>
      </c>
      <c r="C84" s="91">
        <f t="shared" si="3"/>
        <v>0</v>
      </c>
      <c r="D84" s="91">
        <f t="shared" si="3"/>
        <v>0</v>
      </c>
      <c r="E84" s="30">
        <f>SUM(B84:D84)</f>
        <v>0</v>
      </c>
    </row>
    <row r="85" spans="1:5" ht="12.75" hidden="1" customHeight="1" outlineLevel="1" x14ac:dyDescent="0.2">
      <c r="A85" s="89" t="str">
        <f>"         "&amp;Labels!C103</f>
        <v xml:space="preserve">         Subtotal</v>
      </c>
      <c r="B85" s="90">
        <f>SUM(B83:B84)</f>
        <v>0</v>
      </c>
      <c r="C85" s="90">
        <f>SUM(C83:C84)</f>
        <v>0</v>
      </c>
      <c r="D85" s="90">
        <f>SUM(D83:D84)</f>
        <v>0</v>
      </c>
      <c r="E85" s="30">
        <f>SUM(E83:E84)</f>
        <v>0</v>
      </c>
    </row>
    <row r="86" spans="1:5" ht="12.75" hidden="1" customHeight="1" outlineLevel="1" x14ac:dyDescent="0.2">
      <c r="A86" s="89" t="str">
        <f>"      "&amp;Labels!B106</f>
        <v xml:space="preserve">      Preferred</v>
      </c>
      <c r="B86" s="90"/>
      <c r="C86" s="90"/>
      <c r="D86" s="90"/>
      <c r="E86" s="30"/>
    </row>
    <row r="87" spans="1:5" ht="12.75" hidden="1" customHeight="1" outlineLevel="1" x14ac:dyDescent="0.2">
      <c r="A87" s="89" t="str">
        <f>"         "&amp;Labels!B107</f>
        <v xml:space="preserve">         Series A</v>
      </c>
      <c r="B87" s="91">
        <f>B57+B72</f>
        <v>0</v>
      </c>
      <c r="C87" s="91">
        <f>C57+C72</f>
        <v>0</v>
      </c>
      <c r="D87" s="91">
        <f>D57+D72</f>
        <v>0</v>
      </c>
      <c r="E87" s="30">
        <f>SUM(B87:D87)</f>
        <v>0</v>
      </c>
    </row>
    <row r="88" spans="1:5" ht="12.75" hidden="1" customHeight="1" outlineLevel="1" x14ac:dyDescent="0.2">
      <c r="A88" s="89" t="str">
        <f>"         "&amp;Labels!C106</f>
        <v xml:space="preserve">         Subtotal</v>
      </c>
      <c r="B88" s="90">
        <f>B87</f>
        <v>0</v>
      </c>
      <c r="C88" s="90">
        <f>C87</f>
        <v>0</v>
      </c>
      <c r="D88" s="90">
        <f>D87</f>
        <v>0</v>
      </c>
      <c r="E88" s="30">
        <f>E87</f>
        <v>0</v>
      </c>
    </row>
    <row r="89" spans="1:5" ht="12.75" hidden="1" customHeight="1" outlineLevel="1" x14ac:dyDescent="0.2">
      <c r="A89" s="89" t="str">
        <f>"      "&amp;Labels!B108</f>
        <v xml:space="preserve">      Common</v>
      </c>
      <c r="B89" s="90">
        <f t="shared" ref="B89:D90" si="4">B59+B74</f>
        <v>1</v>
      </c>
      <c r="C89" s="90">
        <f t="shared" si="4"/>
        <v>1</v>
      </c>
      <c r="D89" s="90">
        <f t="shared" si="4"/>
        <v>1</v>
      </c>
      <c r="E89" s="30">
        <f>SUM(B89:D89)</f>
        <v>3</v>
      </c>
    </row>
    <row r="90" spans="1:5" ht="12.75" hidden="1" customHeight="1" outlineLevel="1" x14ac:dyDescent="0.2">
      <c r="A90" s="89" t="str">
        <f>"      "&amp;Labels!B109</f>
        <v xml:space="preserve">      Warrant</v>
      </c>
      <c r="B90" s="90">
        <f t="shared" si="4"/>
        <v>0</v>
      </c>
      <c r="C90" s="90">
        <f t="shared" si="4"/>
        <v>0</v>
      </c>
      <c r="D90" s="90">
        <f t="shared" si="4"/>
        <v>0</v>
      </c>
      <c r="E90" s="30">
        <f>SUM(B90:D90)</f>
        <v>0</v>
      </c>
    </row>
    <row r="91" spans="1:5" ht="12.75" hidden="1" customHeight="1" outlineLevel="1" x14ac:dyDescent="0.2">
      <c r="A91" s="89" t="str">
        <f>"      "&amp;Labels!B110</f>
        <v xml:space="preserve">      Option</v>
      </c>
      <c r="B91" s="90"/>
      <c r="C91" s="90"/>
      <c r="D91" s="90"/>
      <c r="E91" s="30"/>
    </row>
    <row r="92" spans="1:5" ht="12.75" hidden="1" customHeight="1" outlineLevel="1" x14ac:dyDescent="0.2">
      <c r="A92" s="89" t="str">
        <f>"         "&amp;Labels!B111</f>
        <v xml:space="preserve">         Series B</v>
      </c>
      <c r="B92" s="91">
        <f t="shared" ref="B92:D93" si="5">B62+B77</f>
        <v>0</v>
      </c>
      <c r="C92" s="91">
        <f t="shared" si="5"/>
        <v>0</v>
      </c>
      <c r="D92" s="91">
        <f t="shared" si="5"/>
        <v>0</v>
      </c>
      <c r="E92" s="30">
        <f>SUM(B92:D92)</f>
        <v>0</v>
      </c>
    </row>
    <row r="93" spans="1:5" ht="12.75" hidden="1" customHeight="1" outlineLevel="1" x14ac:dyDescent="0.2">
      <c r="A93" s="89" t="str">
        <f>"         "&amp;Labels!B112</f>
        <v xml:space="preserve">         Series A</v>
      </c>
      <c r="B93" s="91">
        <f t="shared" si="5"/>
        <v>0</v>
      </c>
      <c r="C93" s="91">
        <f t="shared" si="5"/>
        <v>0</v>
      </c>
      <c r="D93" s="91">
        <f t="shared" si="5"/>
        <v>0</v>
      </c>
      <c r="E93" s="30">
        <f>SUM(B93:D93)</f>
        <v>0</v>
      </c>
    </row>
    <row r="94" spans="1:5" ht="12.75" hidden="1" customHeight="1" outlineLevel="1" x14ac:dyDescent="0.2">
      <c r="A94" s="89" t="str">
        <f>"         "&amp;Labels!C110</f>
        <v xml:space="preserve">         Subtotal</v>
      </c>
      <c r="B94" s="90">
        <f>SUM(B92:B93)</f>
        <v>0</v>
      </c>
      <c r="C94" s="90">
        <f>SUM(C92:C93)</f>
        <v>0</v>
      </c>
      <c r="D94" s="90">
        <f>SUM(D92:D93)</f>
        <v>0</v>
      </c>
      <c r="E94" s="30">
        <f>SUM(E92:E93)</f>
        <v>0</v>
      </c>
    </row>
    <row r="95" spans="1:5" ht="12.75" hidden="1" customHeight="1" outlineLevel="1" x14ac:dyDescent="0.2">
      <c r="A95" s="28" t="str">
        <f>"      "&amp;Labels!C102</f>
        <v xml:space="preserve">      Total</v>
      </c>
      <c r="B95" s="70">
        <f>SUM(B85,B88:B90,B94)</f>
        <v>1</v>
      </c>
      <c r="C95" s="70">
        <f>SUM(C85,C88:C90,C94)</f>
        <v>1</v>
      </c>
      <c r="D95" s="70">
        <f>SUM(D85,D88:D90,D94)</f>
        <v>1</v>
      </c>
      <c r="E95" s="30">
        <f>SUM(E85,E88:E90,E94)</f>
        <v>3</v>
      </c>
    </row>
    <row r="96" spans="1:5" ht="12.75" hidden="1" customHeight="1" outlineLevel="1" x14ac:dyDescent="0.2">
      <c r="A96" s="28" t="str">
        <f>"   "&amp;Labels!B94</f>
        <v xml:space="preserve">   Convert</v>
      </c>
      <c r="B96" s="70"/>
      <c r="C96" s="70"/>
      <c r="D96" s="70"/>
      <c r="E96" s="30"/>
    </row>
    <row r="97" spans="1:5" ht="12.75" hidden="1" customHeight="1" outlineLevel="1" x14ac:dyDescent="0.2">
      <c r="A97" s="89" t="str">
        <f>"      "&amp;Labels!B103</f>
        <v xml:space="preserve">      Conv Note</v>
      </c>
      <c r="B97" s="90"/>
      <c r="C97" s="90"/>
      <c r="D97" s="90"/>
      <c r="E97" s="30"/>
    </row>
    <row r="98" spans="1:5" ht="12.75" hidden="1" customHeight="1" outlineLevel="1" x14ac:dyDescent="0.2">
      <c r="A98" s="89" t="str">
        <f>"         "&amp;Labels!B104</f>
        <v xml:space="preserve">         Series B</v>
      </c>
      <c r="B98" s="91">
        <f t="shared" ref="B98:D99" si="6">0/3/10</f>
        <v>0</v>
      </c>
      <c r="C98" s="91">
        <f t="shared" si="6"/>
        <v>0</v>
      </c>
      <c r="D98" s="91">
        <f t="shared" si="6"/>
        <v>0</v>
      </c>
      <c r="E98" s="30">
        <f>SUM(B98:D98)</f>
        <v>0</v>
      </c>
    </row>
    <row r="99" spans="1:5" ht="12.75" hidden="1" customHeight="1" outlineLevel="1" x14ac:dyDescent="0.2">
      <c r="A99" s="89" t="str">
        <f>"         "&amp;Labels!B105</f>
        <v xml:space="preserve">         Series A</v>
      </c>
      <c r="B99" s="91">
        <f t="shared" si="6"/>
        <v>0</v>
      </c>
      <c r="C99" s="91">
        <f t="shared" si="6"/>
        <v>0</v>
      </c>
      <c r="D99" s="91">
        <f t="shared" si="6"/>
        <v>0</v>
      </c>
      <c r="E99" s="30">
        <f>SUM(B99:D99)</f>
        <v>0</v>
      </c>
    </row>
    <row r="100" spans="1:5" ht="12.75" hidden="1" customHeight="1" outlineLevel="1" x14ac:dyDescent="0.2">
      <c r="A100" s="89" t="str">
        <f>"         "&amp;Labels!C103</f>
        <v xml:space="preserve">         Subtotal</v>
      </c>
      <c r="B100" s="90">
        <f>SUM(B98:B99)</f>
        <v>0</v>
      </c>
      <c r="C100" s="90">
        <f>SUM(C98:C99)</f>
        <v>0</v>
      </c>
      <c r="D100" s="90">
        <f>SUM(D98:D99)</f>
        <v>0</v>
      </c>
      <c r="E100" s="30">
        <f>SUM(E98:E99)</f>
        <v>0</v>
      </c>
    </row>
    <row r="101" spans="1:5" ht="12.75" hidden="1" customHeight="1" outlineLevel="1" x14ac:dyDescent="0.2">
      <c r="A101" s="89" t="str">
        <f>"      "&amp;Labels!B106</f>
        <v xml:space="preserve">      Preferred</v>
      </c>
      <c r="B101" s="90"/>
      <c r="C101" s="90"/>
      <c r="D101" s="90"/>
      <c r="E101" s="30"/>
    </row>
    <row r="102" spans="1:5" ht="12.75" hidden="1" customHeight="1" outlineLevel="1" x14ac:dyDescent="0.2">
      <c r="A102" s="89" t="str">
        <f>"         "&amp;Labels!B107</f>
        <v xml:space="preserve">         Series A</v>
      </c>
      <c r="B102" s="91">
        <f>0/3/5</f>
        <v>0</v>
      </c>
      <c r="C102" s="91">
        <f>0/3/5</f>
        <v>0</v>
      </c>
      <c r="D102" s="91">
        <f>0/3/5</f>
        <v>0</v>
      </c>
      <c r="E102" s="30">
        <f>SUM(B102:D102)</f>
        <v>0</v>
      </c>
    </row>
    <row r="103" spans="1:5" ht="12.75" hidden="1" customHeight="1" outlineLevel="1" x14ac:dyDescent="0.2">
      <c r="A103" s="89" t="str">
        <f>"         "&amp;Labels!C106</f>
        <v xml:space="preserve">         Subtotal</v>
      </c>
      <c r="B103" s="90">
        <f>B102</f>
        <v>0</v>
      </c>
      <c r="C103" s="90">
        <f>C102</f>
        <v>0</v>
      </c>
      <c r="D103" s="90">
        <f>D102</f>
        <v>0</v>
      </c>
      <c r="E103" s="30">
        <f>E102</f>
        <v>0</v>
      </c>
    </row>
    <row r="104" spans="1:5" ht="12.75" hidden="1" customHeight="1" outlineLevel="1" x14ac:dyDescent="0.2">
      <c r="A104" s="89" t="str">
        <f>"      "&amp;Labels!B108</f>
        <v xml:space="preserve">      Common</v>
      </c>
      <c r="B104" s="90">
        <f>0/3/5</f>
        <v>0</v>
      </c>
      <c r="C104" s="90">
        <f>0/3/5</f>
        <v>0</v>
      </c>
      <c r="D104" s="90">
        <f>0/3/5</f>
        <v>0</v>
      </c>
      <c r="E104" s="30">
        <f>SUM(B104:D104)</f>
        <v>0</v>
      </c>
    </row>
    <row r="105" spans="1:5" ht="12.75" hidden="1" customHeight="1" outlineLevel="1" x14ac:dyDescent="0.2">
      <c r="A105" s="89" t="str">
        <f>"      "&amp;Labels!B109</f>
        <v xml:space="preserve">      Warrant</v>
      </c>
      <c r="B105" s="90">
        <f>Options!B16</f>
        <v>0</v>
      </c>
      <c r="C105" s="90">
        <f>Options!C16</f>
        <v>0</v>
      </c>
      <c r="D105" s="90">
        <f>Options!D16</f>
        <v>0</v>
      </c>
      <c r="E105" s="30">
        <f>SUM(B105:D105)</f>
        <v>0</v>
      </c>
    </row>
    <row r="106" spans="1:5" ht="12.75" hidden="1" customHeight="1" outlineLevel="1" x14ac:dyDescent="0.2">
      <c r="A106" s="89" t="str">
        <f>"      "&amp;Labels!B110</f>
        <v xml:space="preserve">      Option</v>
      </c>
      <c r="B106" s="90"/>
      <c r="C106" s="90"/>
      <c r="D106" s="90"/>
      <c r="E106" s="30"/>
    </row>
    <row r="107" spans="1:5" ht="12.75" hidden="1" customHeight="1" outlineLevel="1" x14ac:dyDescent="0.2">
      <c r="A107" s="89" t="str">
        <f>"         "&amp;Labels!B111</f>
        <v xml:space="preserve">         Series B</v>
      </c>
      <c r="B107" s="91">
        <f>Options!B39</f>
        <v>0</v>
      </c>
      <c r="C107" s="91">
        <f>Options!C39</f>
        <v>0</v>
      </c>
      <c r="D107" s="91">
        <f>Options!D39</f>
        <v>0</v>
      </c>
      <c r="E107" s="30">
        <f>SUM(B107:D107)</f>
        <v>0</v>
      </c>
    </row>
    <row r="108" spans="1:5" ht="12.75" hidden="1" customHeight="1" outlineLevel="1" x14ac:dyDescent="0.2">
      <c r="A108" s="89" t="str">
        <f>"         "&amp;Labels!B112</f>
        <v xml:space="preserve">         Series A</v>
      </c>
      <c r="B108" s="91">
        <f>Options!B40</f>
        <v>0</v>
      </c>
      <c r="C108" s="91">
        <f>Options!C40</f>
        <v>0</v>
      </c>
      <c r="D108" s="91">
        <f>Options!D40</f>
        <v>0</v>
      </c>
      <c r="E108" s="30">
        <f>SUM(B108:D108)</f>
        <v>0</v>
      </c>
    </row>
    <row r="109" spans="1:5" ht="12.75" hidden="1" customHeight="1" outlineLevel="1" x14ac:dyDescent="0.2">
      <c r="A109" s="89" t="str">
        <f>"         "&amp;Labels!C110</f>
        <v xml:space="preserve">         Subtotal</v>
      </c>
      <c r="B109" s="90">
        <f>SUM(B107:B108)</f>
        <v>0</v>
      </c>
      <c r="C109" s="90">
        <f>SUM(C107:C108)</f>
        <v>0</v>
      </c>
      <c r="D109" s="90">
        <f>SUM(D107:D108)</f>
        <v>0</v>
      </c>
      <c r="E109" s="30">
        <f>SUM(E107:E108)</f>
        <v>0</v>
      </c>
    </row>
    <row r="110" spans="1:5" ht="12.75" hidden="1" customHeight="1" outlineLevel="1" x14ac:dyDescent="0.2">
      <c r="A110" s="28" t="str">
        <f>"      "&amp;Labels!C102</f>
        <v xml:space="preserve">      Total</v>
      </c>
      <c r="B110" s="70">
        <f>SUM(B100,B103:B105,B109)</f>
        <v>0</v>
      </c>
      <c r="C110" s="70">
        <f>SUM(C100,C103:C105,C109)</f>
        <v>0</v>
      </c>
      <c r="D110" s="70">
        <f>SUM(D100,D103:D105,D109)</f>
        <v>0</v>
      </c>
      <c r="E110" s="30">
        <f>SUM(E100,E103:E105,E109)</f>
        <v>0</v>
      </c>
    </row>
    <row r="111" spans="1:5" ht="12.75" hidden="1" customHeight="1" outlineLevel="1" x14ac:dyDescent="0.2">
      <c r="A111" s="28" t="str">
        <f>"   "&amp;Labels!B95</f>
        <v xml:space="preserve">   End</v>
      </c>
      <c r="B111" s="70"/>
      <c r="C111" s="70"/>
      <c r="D111" s="70"/>
      <c r="E111" s="30"/>
    </row>
    <row r="112" spans="1:5" ht="12.75" hidden="1" customHeight="1" outlineLevel="1" x14ac:dyDescent="0.2">
      <c r="A112" s="89" t="str">
        <f>"      "&amp;Labels!B103</f>
        <v xml:space="preserve">      Conv Note</v>
      </c>
      <c r="B112" s="90"/>
      <c r="C112" s="90"/>
      <c r="D112" s="90"/>
      <c r="E112" s="30"/>
    </row>
    <row r="113" spans="1:5" ht="12.75" hidden="1" customHeight="1" outlineLevel="1" x14ac:dyDescent="0.2">
      <c r="A113" s="89" t="str">
        <f>"         "&amp;Labels!B104</f>
        <v xml:space="preserve">         Series B</v>
      </c>
      <c r="B113" s="91">
        <f t="shared" ref="B113:D114" si="7">B83+B98</f>
        <v>0</v>
      </c>
      <c r="C113" s="91">
        <f t="shared" si="7"/>
        <v>0</v>
      </c>
      <c r="D113" s="91">
        <f t="shared" si="7"/>
        <v>0</v>
      </c>
      <c r="E113" s="30">
        <f>SUM(B113:D113)</f>
        <v>0</v>
      </c>
    </row>
    <row r="114" spans="1:5" ht="12.75" hidden="1" customHeight="1" outlineLevel="1" x14ac:dyDescent="0.2">
      <c r="A114" s="89" t="str">
        <f>"         "&amp;Labels!B105</f>
        <v xml:space="preserve">         Series A</v>
      </c>
      <c r="B114" s="91">
        <f t="shared" si="7"/>
        <v>0</v>
      </c>
      <c r="C114" s="91">
        <f t="shared" si="7"/>
        <v>0</v>
      </c>
      <c r="D114" s="91">
        <f t="shared" si="7"/>
        <v>0</v>
      </c>
      <c r="E114" s="30">
        <f>SUM(B114:D114)</f>
        <v>0</v>
      </c>
    </row>
    <row r="115" spans="1:5" ht="12.75" hidden="1" customHeight="1" outlineLevel="1" x14ac:dyDescent="0.2">
      <c r="A115" s="89" t="str">
        <f>"         "&amp;Labels!C103</f>
        <v xml:space="preserve">         Subtotal</v>
      </c>
      <c r="B115" s="90">
        <f>SUM(B113:B114)</f>
        <v>0</v>
      </c>
      <c r="C115" s="90">
        <f>SUM(C113:C114)</f>
        <v>0</v>
      </c>
      <c r="D115" s="90">
        <f>SUM(D113:D114)</f>
        <v>0</v>
      </c>
      <c r="E115" s="30">
        <f>SUM(E113:E114)</f>
        <v>0</v>
      </c>
    </row>
    <row r="116" spans="1:5" ht="12.75" hidden="1" customHeight="1" outlineLevel="1" x14ac:dyDescent="0.2">
      <c r="A116" s="89" t="str">
        <f>"      "&amp;Labels!B106</f>
        <v xml:space="preserve">      Preferred</v>
      </c>
      <c r="B116" s="90"/>
      <c r="C116" s="90"/>
      <c r="D116" s="90"/>
      <c r="E116" s="30"/>
    </row>
    <row r="117" spans="1:5" ht="12.75" hidden="1" customHeight="1" outlineLevel="1" x14ac:dyDescent="0.2">
      <c r="A117" s="89" t="str">
        <f>"         "&amp;Labels!B107</f>
        <v xml:space="preserve">         Series A</v>
      </c>
      <c r="B117" s="91">
        <f>B87+B102</f>
        <v>0</v>
      </c>
      <c r="C117" s="91">
        <f>C87+C102</f>
        <v>0</v>
      </c>
      <c r="D117" s="91">
        <f>D87+D102</f>
        <v>0</v>
      </c>
      <c r="E117" s="30">
        <f>SUM(B117:D117)</f>
        <v>0</v>
      </c>
    </row>
    <row r="118" spans="1:5" ht="12.75" hidden="1" customHeight="1" outlineLevel="1" x14ac:dyDescent="0.2">
      <c r="A118" s="89" t="str">
        <f>"         "&amp;Labels!C106</f>
        <v xml:space="preserve">         Subtotal</v>
      </c>
      <c r="B118" s="90">
        <f>B117</f>
        <v>0</v>
      </c>
      <c r="C118" s="90">
        <f>C117</f>
        <v>0</v>
      </c>
      <c r="D118" s="90">
        <f>D117</f>
        <v>0</v>
      </c>
      <c r="E118" s="30">
        <f>E117</f>
        <v>0</v>
      </c>
    </row>
    <row r="119" spans="1:5" ht="12.75" hidden="1" customHeight="1" outlineLevel="1" x14ac:dyDescent="0.2">
      <c r="A119" s="89" t="str">
        <f>"      "&amp;Labels!B108</f>
        <v xml:space="preserve">      Common</v>
      </c>
      <c r="B119" s="90">
        <f t="shared" ref="B119:D120" si="8">B89+B104</f>
        <v>1</v>
      </c>
      <c r="C119" s="90">
        <f t="shared" si="8"/>
        <v>1</v>
      </c>
      <c r="D119" s="90">
        <f t="shared" si="8"/>
        <v>1</v>
      </c>
      <c r="E119" s="30">
        <f>SUM(B119:D119)</f>
        <v>3</v>
      </c>
    </row>
    <row r="120" spans="1:5" ht="12.75" hidden="1" customHeight="1" outlineLevel="1" x14ac:dyDescent="0.2">
      <c r="A120" s="89" t="str">
        <f>"      "&amp;Labels!B109</f>
        <v xml:space="preserve">      Warrant</v>
      </c>
      <c r="B120" s="90">
        <f t="shared" si="8"/>
        <v>0</v>
      </c>
      <c r="C120" s="90">
        <f t="shared" si="8"/>
        <v>0</v>
      </c>
      <c r="D120" s="90">
        <f t="shared" si="8"/>
        <v>0</v>
      </c>
      <c r="E120" s="30">
        <f>SUM(B120:D120)</f>
        <v>0</v>
      </c>
    </row>
    <row r="121" spans="1:5" ht="12.75" hidden="1" customHeight="1" outlineLevel="1" x14ac:dyDescent="0.2">
      <c r="A121" s="89" t="str">
        <f>"      "&amp;Labels!B110</f>
        <v xml:space="preserve">      Option</v>
      </c>
      <c r="B121" s="90"/>
      <c r="C121" s="90"/>
      <c r="D121" s="90"/>
      <c r="E121" s="30"/>
    </row>
    <row r="122" spans="1:5" ht="12.75" hidden="1" customHeight="1" outlineLevel="1" x14ac:dyDescent="0.2">
      <c r="A122" s="89" t="str">
        <f>"         "&amp;Labels!B111</f>
        <v xml:space="preserve">         Series B</v>
      </c>
      <c r="B122" s="91">
        <f t="shared" ref="B122:D123" si="9">B92+B107</f>
        <v>0</v>
      </c>
      <c r="C122" s="91">
        <f t="shared" si="9"/>
        <v>0</v>
      </c>
      <c r="D122" s="91">
        <f t="shared" si="9"/>
        <v>0</v>
      </c>
      <c r="E122" s="30">
        <f>SUM(B122:D122)</f>
        <v>0</v>
      </c>
    </row>
    <row r="123" spans="1:5" ht="12.75" hidden="1" customHeight="1" outlineLevel="1" x14ac:dyDescent="0.2">
      <c r="A123" s="89" t="str">
        <f>"         "&amp;Labels!B112</f>
        <v xml:space="preserve">         Series A</v>
      </c>
      <c r="B123" s="91">
        <f t="shared" si="9"/>
        <v>0</v>
      </c>
      <c r="C123" s="91">
        <f t="shared" si="9"/>
        <v>0</v>
      </c>
      <c r="D123" s="91">
        <f t="shared" si="9"/>
        <v>0</v>
      </c>
      <c r="E123" s="30">
        <f>SUM(B123:D123)</f>
        <v>0</v>
      </c>
    </row>
    <row r="124" spans="1:5" ht="12.75" hidden="1" customHeight="1" outlineLevel="1" x14ac:dyDescent="0.2">
      <c r="A124" s="89" t="str">
        <f>"         "&amp;Labels!C110</f>
        <v xml:space="preserve">         Subtotal</v>
      </c>
      <c r="B124" s="90">
        <f>SUM(B122:B123)</f>
        <v>0</v>
      </c>
      <c r="C124" s="90">
        <f>SUM(C122:C123)</f>
        <v>0</v>
      </c>
      <c r="D124" s="90">
        <f>SUM(D122:D123)</f>
        <v>0</v>
      </c>
      <c r="E124" s="30">
        <f>SUM(E122:E123)</f>
        <v>0</v>
      </c>
    </row>
    <row r="125" spans="1:5" ht="12.75" hidden="1" customHeight="1" outlineLevel="1" x14ac:dyDescent="0.2">
      <c r="A125" s="28" t="str">
        <f>"      "&amp;Labels!C102</f>
        <v xml:space="preserve">      Total</v>
      </c>
      <c r="B125" s="70">
        <f>SUM(B115,B118:B120,B124)</f>
        <v>1</v>
      </c>
      <c r="C125" s="70">
        <f>SUM(C115,C118:C120,C124)</f>
        <v>1</v>
      </c>
      <c r="D125" s="70">
        <f>SUM(D115,D118:D120,D124)</f>
        <v>1</v>
      </c>
      <c r="E125" s="30">
        <f>SUM(E115,E118:E120,E124)</f>
        <v>3</v>
      </c>
    </row>
    <row r="126" spans="1:5" ht="12.75" hidden="1" customHeight="1" outlineLevel="1" x14ac:dyDescent="0.2">
      <c r="A126" s="4"/>
      <c r="B126" s="92"/>
      <c r="C126" s="92"/>
      <c r="D126" s="92"/>
      <c r="E126" s="4"/>
    </row>
    <row r="127" spans="1:5" ht="12.75" hidden="1" customHeight="1" outlineLevel="1" x14ac:dyDescent="0.2">
      <c r="A127" s="73" t="str">
        <f>Labels!B28</f>
        <v>Invest by Origin ex-Dividend</v>
      </c>
      <c r="B127" s="74"/>
      <c r="C127" s="74"/>
      <c r="D127" s="74"/>
      <c r="E127" s="30"/>
    </row>
    <row r="128" spans="1:5" ht="12.75" hidden="1" customHeight="1" outlineLevel="1" x14ac:dyDescent="0.2">
      <c r="A128" s="28" t="str">
        <f>"   "&amp;Labels!B91</f>
        <v xml:space="preserve">   Start</v>
      </c>
      <c r="B128" s="70"/>
      <c r="C128" s="70"/>
      <c r="D128" s="70"/>
      <c r="E128" s="30"/>
    </row>
    <row r="129" spans="1:5" ht="12.75" hidden="1" customHeight="1" outlineLevel="1" x14ac:dyDescent="0.2">
      <c r="A129" s="89" t="str">
        <f>"      "&amp;Labels!B103</f>
        <v xml:space="preserve">      Conv Note</v>
      </c>
      <c r="B129" s="90"/>
      <c r="C129" s="90"/>
      <c r="D129" s="90"/>
      <c r="E129" s="30"/>
    </row>
    <row r="130" spans="1:5" ht="12.75" hidden="1" customHeight="1" outlineLevel="1" x14ac:dyDescent="0.2">
      <c r="A130" s="89" t="str">
        <f>"         "&amp;Labels!B104</f>
        <v xml:space="preserve">         Series B</v>
      </c>
      <c r="B130" s="91">
        <f>0</f>
        <v>0</v>
      </c>
      <c r="C130" s="91">
        <f>B190</f>
        <v>0</v>
      </c>
      <c r="D130" s="91">
        <f>C190</f>
        <v>0</v>
      </c>
      <c r="E130" s="30">
        <f>SUM(B130:D130)</f>
        <v>0</v>
      </c>
    </row>
    <row r="131" spans="1:5" ht="12.75" hidden="1" customHeight="1" outlineLevel="1" x14ac:dyDescent="0.2">
      <c r="A131" s="89" t="str">
        <f>"         "&amp;Labels!B105</f>
        <v xml:space="preserve">         Series A</v>
      </c>
      <c r="B131" s="91">
        <f>0</f>
        <v>0</v>
      </c>
      <c r="C131" s="91">
        <f>B191</f>
        <v>0</v>
      </c>
      <c r="D131" s="91">
        <f>C191</f>
        <v>0</v>
      </c>
      <c r="E131" s="30">
        <f>SUM(B131:D131)</f>
        <v>0</v>
      </c>
    </row>
    <row r="132" spans="1:5" ht="12.75" hidden="1" customHeight="1" outlineLevel="1" x14ac:dyDescent="0.2">
      <c r="A132" s="89" t="str">
        <f>"         "&amp;Labels!C103</f>
        <v xml:space="preserve">         Subtotal</v>
      </c>
      <c r="B132" s="90">
        <f>SUM(B130:B131)</f>
        <v>0</v>
      </c>
      <c r="C132" s="90">
        <f>SUM(C130:C131)</f>
        <v>0</v>
      </c>
      <c r="D132" s="90">
        <f>SUM(D130:D131)</f>
        <v>0</v>
      </c>
      <c r="E132" s="30">
        <f>SUM(E130:E131)</f>
        <v>0</v>
      </c>
    </row>
    <row r="133" spans="1:5" ht="12.75" hidden="1" customHeight="1" outlineLevel="1" x14ac:dyDescent="0.2">
      <c r="A133" s="89" t="str">
        <f>"      "&amp;Labels!B106</f>
        <v xml:space="preserve">      Preferred</v>
      </c>
      <c r="B133" s="90"/>
      <c r="C133" s="90"/>
      <c r="D133" s="90"/>
      <c r="E133" s="30"/>
    </row>
    <row r="134" spans="1:5" ht="12.75" hidden="1" customHeight="1" outlineLevel="1" x14ac:dyDescent="0.2">
      <c r="A134" s="89" t="str">
        <f>"         "&amp;Labels!B107</f>
        <v xml:space="preserve">         Series A</v>
      </c>
      <c r="B134" s="91">
        <f>0</f>
        <v>0</v>
      </c>
      <c r="C134" s="91">
        <f>B194</f>
        <v>0</v>
      </c>
      <c r="D134" s="91">
        <f>C194</f>
        <v>0</v>
      </c>
      <c r="E134" s="30">
        <f>SUM(B134:D134)</f>
        <v>0</v>
      </c>
    </row>
    <row r="135" spans="1:5" ht="12.75" hidden="1" customHeight="1" outlineLevel="1" x14ac:dyDescent="0.2">
      <c r="A135" s="89" t="str">
        <f>"         "&amp;Labels!C106</f>
        <v xml:space="preserve">         Subtotal</v>
      </c>
      <c r="B135" s="90">
        <f>B134</f>
        <v>0</v>
      </c>
      <c r="C135" s="90">
        <f>C134</f>
        <v>0</v>
      </c>
      <c r="D135" s="90">
        <f>D134</f>
        <v>0</v>
      </c>
      <c r="E135" s="30">
        <f>E134</f>
        <v>0</v>
      </c>
    </row>
    <row r="136" spans="1:5" ht="12.75" hidden="1" customHeight="1" outlineLevel="1" x14ac:dyDescent="0.2">
      <c r="A136" s="89" t="str">
        <f>"      "&amp;Labels!B108</f>
        <v xml:space="preserve">      Common</v>
      </c>
      <c r="B136" s="90">
        <f>0</f>
        <v>0</v>
      </c>
      <c r="C136" s="90">
        <f>B196</f>
        <v>1</v>
      </c>
      <c r="D136" s="90">
        <f>C196</f>
        <v>1</v>
      </c>
      <c r="E136" s="30">
        <f>SUM(B136:D136)</f>
        <v>2</v>
      </c>
    </row>
    <row r="137" spans="1:5" ht="12.75" hidden="1" customHeight="1" outlineLevel="1" x14ac:dyDescent="0.2">
      <c r="A137" s="89" t="str">
        <f>"      "&amp;Labels!B109</f>
        <v xml:space="preserve">      Warrant</v>
      </c>
      <c r="B137" s="90">
        <f>0</f>
        <v>0</v>
      </c>
      <c r="C137" s="90">
        <f>B197</f>
        <v>0</v>
      </c>
      <c r="D137" s="90">
        <f>C197</f>
        <v>0</v>
      </c>
      <c r="E137" s="30">
        <f>SUM(B137:D137)</f>
        <v>0</v>
      </c>
    </row>
    <row r="138" spans="1:5" ht="12.75" hidden="1" customHeight="1" outlineLevel="1" x14ac:dyDescent="0.2">
      <c r="A138" s="89" t="str">
        <f>"      "&amp;Labels!B110</f>
        <v xml:space="preserve">      Option</v>
      </c>
      <c r="B138" s="90"/>
      <c r="C138" s="90"/>
      <c r="D138" s="90"/>
      <c r="E138" s="30"/>
    </row>
    <row r="139" spans="1:5" ht="12.75" hidden="1" customHeight="1" outlineLevel="1" x14ac:dyDescent="0.2">
      <c r="A139" s="89" t="str">
        <f>"         "&amp;Labels!B111</f>
        <v xml:space="preserve">         Series B</v>
      </c>
      <c r="B139" s="91">
        <f>0</f>
        <v>0</v>
      </c>
      <c r="C139" s="91">
        <f>B199</f>
        <v>0</v>
      </c>
      <c r="D139" s="91">
        <f>C199</f>
        <v>0</v>
      </c>
      <c r="E139" s="30">
        <f>SUM(B139:D139)</f>
        <v>0</v>
      </c>
    </row>
    <row r="140" spans="1:5" ht="12.75" hidden="1" customHeight="1" outlineLevel="1" x14ac:dyDescent="0.2">
      <c r="A140" s="89" t="str">
        <f>"         "&amp;Labels!B112</f>
        <v xml:space="preserve">         Series A</v>
      </c>
      <c r="B140" s="91">
        <f>0</f>
        <v>0</v>
      </c>
      <c r="C140" s="91">
        <f>B200</f>
        <v>0</v>
      </c>
      <c r="D140" s="91">
        <f>C200</f>
        <v>0</v>
      </c>
      <c r="E140" s="30">
        <f>SUM(B140:D140)</f>
        <v>0</v>
      </c>
    </row>
    <row r="141" spans="1:5" ht="12.75" hidden="1" customHeight="1" outlineLevel="1" x14ac:dyDescent="0.2">
      <c r="A141" s="89" t="str">
        <f>"         "&amp;Labels!C110</f>
        <v xml:space="preserve">         Subtotal</v>
      </c>
      <c r="B141" s="90">
        <f>SUM(B139:B140)</f>
        <v>0</v>
      </c>
      <c r="C141" s="90">
        <f>SUM(C139:C140)</f>
        <v>0</v>
      </c>
      <c r="D141" s="90">
        <f>SUM(D139:D140)</f>
        <v>0</v>
      </c>
      <c r="E141" s="30">
        <f>SUM(E139:E140)</f>
        <v>0</v>
      </c>
    </row>
    <row r="142" spans="1:5" ht="12.75" hidden="1" customHeight="1" outlineLevel="1" x14ac:dyDescent="0.2">
      <c r="A142" s="28" t="str">
        <f>"      "&amp;Labels!C102</f>
        <v xml:space="preserve">      Total</v>
      </c>
      <c r="B142" s="70">
        <f>SUM(B132,B135:B137,B141)</f>
        <v>0</v>
      </c>
      <c r="C142" s="70">
        <f>SUM(C132,C135:C137,C141)</f>
        <v>1</v>
      </c>
      <c r="D142" s="70">
        <f>SUM(D132,D135:D137,D141)</f>
        <v>1</v>
      </c>
      <c r="E142" s="30">
        <f>SUM(E132,E135:E137,E141)</f>
        <v>2</v>
      </c>
    </row>
    <row r="143" spans="1:5" ht="12.75" hidden="1" customHeight="1" outlineLevel="1" x14ac:dyDescent="0.2">
      <c r="A143" s="28" t="str">
        <f>"   "&amp;Labels!B92</f>
        <v xml:space="preserve">   New Sales</v>
      </c>
      <c r="B143" s="70"/>
      <c r="C143" s="70"/>
      <c r="D143" s="70"/>
      <c r="E143" s="30"/>
    </row>
    <row r="144" spans="1:5" ht="12.75" hidden="1" customHeight="1" outlineLevel="1" x14ac:dyDescent="0.2">
      <c r="A144" s="89" t="str">
        <f>"      "&amp;Labels!B103</f>
        <v xml:space="preserve">      Conv Note</v>
      </c>
      <c r="B144" s="90"/>
      <c r="C144" s="90"/>
      <c r="D144" s="90"/>
      <c r="E144" s="30"/>
    </row>
    <row r="145" spans="1:5" ht="12.75" hidden="1" customHeight="1" outlineLevel="1" x14ac:dyDescent="0.2">
      <c r="A145" s="89" t="str">
        <f>"         "&amp;Labels!B104</f>
        <v xml:space="preserve">         Series B</v>
      </c>
      <c r="B145" s="91">
        <f t="shared" ref="B145:D146" si="10">B68</f>
        <v>0</v>
      </c>
      <c r="C145" s="91">
        <f t="shared" si="10"/>
        <v>0</v>
      </c>
      <c r="D145" s="91">
        <f t="shared" si="10"/>
        <v>0</v>
      </c>
      <c r="E145" s="30">
        <f>SUM(B145:D145)</f>
        <v>0</v>
      </c>
    </row>
    <row r="146" spans="1:5" ht="12.75" hidden="1" customHeight="1" outlineLevel="1" x14ac:dyDescent="0.2">
      <c r="A146" s="89" t="str">
        <f>"         "&amp;Labels!B105</f>
        <v xml:space="preserve">         Series A</v>
      </c>
      <c r="B146" s="91">
        <f t="shared" si="10"/>
        <v>0</v>
      </c>
      <c r="C146" s="91">
        <f t="shared" si="10"/>
        <v>0</v>
      </c>
      <c r="D146" s="91">
        <f t="shared" si="10"/>
        <v>0</v>
      </c>
      <c r="E146" s="30">
        <f>SUM(B146:D146)</f>
        <v>0</v>
      </c>
    </row>
    <row r="147" spans="1:5" ht="12.75" hidden="1" customHeight="1" outlineLevel="1" x14ac:dyDescent="0.2">
      <c r="A147" s="89" t="str">
        <f>"         "&amp;Labels!C103</f>
        <v xml:space="preserve">         Subtotal</v>
      </c>
      <c r="B147" s="90">
        <f>SUM(B145:B146)</f>
        <v>0</v>
      </c>
      <c r="C147" s="90">
        <f>SUM(C145:C146)</f>
        <v>0</v>
      </c>
      <c r="D147" s="90">
        <f>SUM(D145:D146)</f>
        <v>0</v>
      </c>
      <c r="E147" s="30">
        <f>SUM(E145:E146)</f>
        <v>0</v>
      </c>
    </row>
    <row r="148" spans="1:5" ht="12.75" hidden="1" customHeight="1" outlineLevel="1" x14ac:dyDescent="0.2">
      <c r="A148" s="89" t="str">
        <f>"      "&amp;Labels!B106</f>
        <v xml:space="preserve">      Preferred</v>
      </c>
      <c r="B148" s="90"/>
      <c r="C148" s="90"/>
      <c r="D148" s="90"/>
      <c r="E148" s="30"/>
    </row>
    <row r="149" spans="1:5" ht="12.75" hidden="1" customHeight="1" outlineLevel="1" x14ac:dyDescent="0.2">
      <c r="A149" s="89" t="str">
        <f>"         "&amp;Labels!B107</f>
        <v xml:space="preserve">         Series A</v>
      </c>
      <c r="B149" s="91">
        <f>B72</f>
        <v>0</v>
      </c>
      <c r="C149" s="91">
        <f>C72</f>
        <v>0</v>
      </c>
      <c r="D149" s="91">
        <f>D72</f>
        <v>0</v>
      </c>
      <c r="E149" s="30">
        <f>SUM(B149:D149)</f>
        <v>0</v>
      </c>
    </row>
    <row r="150" spans="1:5" ht="12.75" hidden="1" customHeight="1" outlineLevel="1" x14ac:dyDescent="0.2">
      <c r="A150" s="89" t="str">
        <f>"         "&amp;Labels!C106</f>
        <v xml:space="preserve">         Subtotal</v>
      </c>
      <c r="B150" s="90">
        <f>B149</f>
        <v>0</v>
      </c>
      <c r="C150" s="90">
        <f>C149</f>
        <v>0</v>
      </c>
      <c r="D150" s="90">
        <f>D149</f>
        <v>0</v>
      </c>
      <c r="E150" s="30">
        <f>E149</f>
        <v>0</v>
      </c>
    </row>
    <row r="151" spans="1:5" ht="12.75" hidden="1" customHeight="1" outlineLevel="1" x14ac:dyDescent="0.2">
      <c r="A151" s="89" t="str">
        <f>"      "&amp;Labels!B108</f>
        <v xml:space="preserve">      Common</v>
      </c>
      <c r="B151" s="90">
        <f t="shared" ref="B151:D152" si="11">B74</f>
        <v>1</v>
      </c>
      <c r="C151" s="90">
        <f t="shared" si="11"/>
        <v>0</v>
      </c>
      <c r="D151" s="90">
        <f t="shared" si="11"/>
        <v>0</v>
      </c>
      <c r="E151" s="30">
        <f>SUM(B151:D151)</f>
        <v>1</v>
      </c>
    </row>
    <row r="152" spans="1:5" ht="12.75" hidden="1" customHeight="1" outlineLevel="1" x14ac:dyDescent="0.2">
      <c r="A152" s="89" t="str">
        <f>"      "&amp;Labels!B109</f>
        <v xml:space="preserve">      Warrant</v>
      </c>
      <c r="B152" s="90">
        <f t="shared" si="11"/>
        <v>0</v>
      </c>
      <c r="C152" s="90">
        <f t="shared" si="11"/>
        <v>0</v>
      </c>
      <c r="D152" s="90">
        <f t="shared" si="11"/>
        <v>0</v>
      </c>
      <c r="E152" s="30">
        <f>SUM(B152:D152)</f>
        <v>0</v>
      </c>
    </row>
    <row r="153" spans="1:5" ht="12.75" hidden="1" customHeight="1" outlineLevel="1" x14ac:dyDescent="0.2">
      <c r="A153" s="89" t="str">
        <f>"      "&amp;Labels!B110</f>
        <v xml:space="preserve">      Option</v>
      </c>
      <c r="B153" s="90"/>
      <c r="C153" s="90"/>
      <c r="D153" s="90"/>
      <c r="E153" s="30"/>
    </row>
    <row r="154" spans="1:5" ht="12.75" hidden="1" customHeight="1" outlineLevel="1" x14ac:dyDescent="0.2">
      <c r="A154" s="89" t="str">
        <f>"         "&amp;Labels!B111</f>
        <v xml:space="preserve">         Series B</v>
      </c>
      <c r="B154" s="91">
        <f t="shared" ref="B154:D155" si="12">B77</f>
        <v>0</v>
      </c>
      <c r="C154" s="91">
        <f t="shared" si="12"/>
        <v>0</v>
      </c>
      <c r="D154" s="91">
        <f t="shared" si="12"/>
        <v>0</v>
      </c>
      <c r="E154" s="30">
        <f>SUM(B154:D154)</f>
        <v>0</v>
      </c>
    </row>
    <row r="155" spans="1:5" ht="12.75" hidden="1" customHeight="1" outlineLevel="1" x14ac:dyDescent="0.2">
      <c r="A155" s="89" t="str">
        <f>"         "&amp;Labels!B112</f>
        <v xml:space="preserve">         Series A</v>
      </c>
      <c r="B155" s="91">
        <f t="shared" si="12"/>
        <v>0</v>
      </c>
      <c r="C155" s="91">
        <f t="shared" si="12"/>
        <v>0</v>
      </c>
      <c r="D155" s="91">
        <f t="shared" si="12"/>
        <v>0</v>
      </c>
      <c r="E155" s="30">
        <f>SUM(B155:D155)</f>
        <v>0</v>
      </c>
    </row>
    <row r="156" spans="1:5" ht="12.75" hidden="1" customHeight="1" outlineLevel="1" x14ac:dyDescent="0.2">
      <c r="A156" s="89" t="str">
        <f>"         "&amp;Labels!C110</f>
        <v xml:space="preserve">         Subtotal</v>
      </c>
      <c r="B156" s="90">
        <f>SUM(B154:B155)</f>
        <v>0</v>
      </c>
      <c r="C156" s="90">
        <f>SUM(C154:C155)</f>
        <v>0</v>
      </c>
      <c r="D156" s="90">
        <f>SUM(D154:D155)</f>
        <v>0</v>
      </c>
      <c r="E156" s="30">
        <f>SUM(E154:E155)</f>
        <v>0</v>
      </c>
    </row>
    <row r="157" spans="1:5" ht="12.75" hidden="1" customHeight="1" outlineLevel="1" x14ac:dyDescent="0.2">
      <c r="A157" s="28" t="str">
        <f>"      "&amp;Labels!C102</f>
        <v xml:space="preserve">      Total</v>
      </c>
      <c r="B157" s="70">
        <f>SUM(B147,B150:B152,B156)</f>
        <v>1</v>
      </c>
      <c r="C157" s="70">
        <f>SUM(C147,C150:C152,C156)</f>
        <v>0</v>
      </c>
      <c r="D157" s="70">
        <f>SUM(D147,D150:D152,D156)</f>
        <v>0</v>
      </c>
      <c r="E157" s="30">
        <f>SUM(E147,E150:E152,E156)</f>
        <v>1</v>
      </c>
    </row>
    <row r="158" spans="1:5" ht="12.75" hidden="1" customHeight="1" outlineLevel="1" x14ac:dyDescent="0.2">
      <c r="A158" s="28" t="str">
        <f>"   "&amp;Labels!B93</f>
        <v xml:space="preserve">   Post Sales</v>
      </c>
      <c r="B158" s="70"/>
      <c r="C158" s="70"/>
      <c r="D158" s="70"/>
      <c r="E158" s="30"/>
    </row>
    <row r="159" spans="1:5" ht="12.75" hidden="1" customHeight="1" outlineLevel="1" x14ac:dyDescent="0.2">
      <c r="A159" s="89" t="str">
        <f>"      "&amp;Labels!B103</f>
        <v xml:space="preserve">      Conv Note</v>
      </c>
      <c r="B159" s="90"/>
      <c r="C159" s="90"/>
      <c r="D159" s="90"/>
      <c r="E159" s="30"/>
    </row>
    <row r="160" spans="1:5" ht="12.75" hidden="1" customHeight="1" outlineLevel="1" x14ac:dyDescent="0.2">
      <c r="A160" s="89" t="str">
        <f>"         "&amp;Labels!B104</f>
        <v xml:space="preserve">         Series B</v>
      </c>
      <c r="B160" s="91">
        <f t="shared" ref="B160:D161" si="13">B130+B145</f>
        <v>0</v>
      </c>
      <c r="C160" s="91">
        <f t="shared" si="13"/>
        <v>0</v>
      </c>
      <c r="D160" s="91">
        <f t="shared" si="13"/>
        <v>0</v>
      </c>
      <c r="E160" s="30">
        <f>SUM(B160:D160)</f>
        <v>0</v>
      </c>
    </row>
    <row r="161" spans="1:5" ht="12.75" hidden="1" customHeight="1" outlineLevel="1" x14ac:dyDescent="0.2">
      <c r="A161" s="89" t="str">
        <f>"         "&amp;Labels!B105</f>
        <v xml:space="preserve">         Series A</v>
      </c>
      <c r="B161" s="91">
        <f t="shared" si="13"/>
        <v>0</v>
      </c>
      <c r="C161" s="91">
        <f t="shared" si="13"/>
        <v>0</v>
      </c>
      <c r="D161" s="91">
        <f t="shared" si="13"/>
        <v>0</v>
      </c>
      <c r="E161" s="30">
        <f>SUM(B161:D161)</f>
        <v>0</v>
      </c>
    </row>
    <row r="162" spans="1:5" ht="12.75" hidden="1" customHeight="1" outlineLevel="1" x14ac:dyDescent="0.2">
      <c r="A162" s="89" t="str">
        <f>"         "&amp;Labels!C103</f>
        <v xml:space="preserve">         Subtotal</v>
      </c>
      <c r="B162" s="90">
        <f>SUM(B160:B161)</f>
        <v>0</v>
      </c>
      <c r="C162" s="90">
        <f>SUM(C160:C161)</f>
        <v>0</v>
      </c>
      <c r="D162" s="90">
        <f>SUM(D160:D161)</f>
        <v>0</v>
      </c>
      <c r="E162" s="30">
        <f>SUM(E160:E161)</f>
        <v>0</v>
      </c>
    </row>
    <row r="163" spans="1:5" ht="12.75" hidden="1" customHeight="1" outlineLevel="1" x14ac:dyDescent="0.2">
      <c r="A163" s="89" t="str">
        <f>"      "&amp;Labels!B106</f>
        <v xml:space="preserve">      Preferred</v>
      </c>
      <c r="B163" s="90"/>
      <c r="C163" s="90"/>
      <c r="D163" s="90"/>
      <c r="E163" s="30"/>
    </row>
    <row r="164" spans="1:5" ht="12.75" hidden="1" customHeight="1" outlineLevel="1" x14ac:dyDescent="0.2">
      <c r="A164" s="89" t="str">
        <f>"         "&amp;Labels!B107</f>
        <v xml:space="preserve">         Series A</v>
      </c>
      <c r="B164" s="91">
        <f>B134+B149</f>
        <v>0</v>
      </c>
      <c r="C164" s="91">
        <f>C134+C149</f>
        <v>0</v>
      </c>
      <c r="D164" s="91">
        <f>D134+D149</f>
        <v>0</v>
      </c>
      <c r="E164" s="30">
        <f>SUM(B164:D164)</f>
        <v>0</v>
      </c>
    </row>
    <row r="165" spans="1:5" ht="12.75" hidden="1" customHeight="1" outlineLevel="1" x14ac:dyDescent="0.2">
      <c r="A165" s="89" t="str">
        <f>"         "&amp;Labels!C106</f>
        <v xml:space="preserve">         Subtotal</v>
      </c>
      <c r="B165" s="90">
        <f>B164</f>
        <v>0</v>
      </c>
      <c r="C165" s="90">
        <f>C164</f>
        <v>0</v>
      </c>
      <c r="D165" s="90">
        <f>D164</f>
        <v>0</v>
      </c>
      <c r="E165" s="30">
        <f>E164</f>
        <v>0</v>
      </c>
    </row>
    <row r="166" spans="1:5" ht="12.75" hidden="1" customHeight="1" outlineLevel="1" x14ac:dyDescent="0.2">
      <c r="A166" s="89" t="str">
        <f>"      "&amp;Labels!B108</f>
        <v xml:space="preserve">      Common</v>
      </c>
      <c r="B166" s="90">
        <f t="shared" ref="B166:D167" si="14">B136+B151</f>
        <v>1</v>
      </c>
      <c r="C166" s="90">
        <f t="shared" si="14"/>
        <v>1</v>
      </c>
      <c r="D166" s="90">
        <f t="shared" si="14"/>
        <v>1</v>
      </c>
      <c r="E166" s="30">
        <f>SUM(B166:D166)</f>
        <v>3</v>
      </c>
    </row>
    <row r="167" spans="1:5" ht="12.75" hidden="1" customHeight="1" outlineLevel="1" x14ac:dyDescent="0.2">
      <c r="A167" s="89" t="str">
        <f>"      "&amp;Labels!B109</f>
        <v xml:space="preserve">      Warrant</v>
      </c>
      <c r="B167" s="90">
        <f t="shared" si="14"/>
        <v>0</v>
      </c>
      <c r="C167" s="90">
        <f t="shared" si="14"/>
        <v>0</v>
      </c>
      <c r="D167" s="90">
        <f t="shared" si="14"/>
        <v>0</v>
      </c>
      <c r="E167" s="30">
        <f>SUM(B167:D167)</f>
        <v>0</v>
      </c>
    </row>
    <row r="168" spans="1:5" ht="12.75" hidden="1" customHeight="1" outlineLevel="1" x14ac:dyDescent="0.2">
      <c r="A168" s="89" t="str">
        <f>"      "&amp;Labels!B110</f>
        <v xml:space="preserve">      Option</v>
      </c>
      <c r="B168" s="90"/>
      <c r="C168" s="90"/>
      <c r="D168" s="90"/>
      <c r="E168" s="30"/>
    </row>
    <row r="169" spans="1:5" ht="12.75" hidden="1" customHeight="1" outlineLevel="1" x14ac:dyDescent="0.2">
      <c r="A169" s="89" t="str">
        <f>"         "&amp;Labels!B111</f>
        <v xml:space="preserve">         Series B</v>
      </c>
      <c r="B169" s="91">
        <f t="shared" ref="B169:D170" si="15">B139+B154</f>
        <v>0</v>
      </c>
      <c r="C169" s="91">
        <f t="shared" si="15"/>
        <v>0</v>
      </c>
      <c r="D169" s="91">
        <f t="shared" si="15"/>
        <v>0</v>
      </c>
      <c r="E169" s="30">
        <f>SUM(B169:D169)</f>
        <v>0</v>
      </c>
    </row>
    <row r="170" spans="1:5" ht="12.75" hidden="1" customHeight="1" outlineLevel="1" x14ac:dyDescent="0.2">
      <c r="A170" s="89" t="str">
        <f>"         "&amp;Labels!B112</f>
        <v xml:space="preserve">         Series A</v>
      </c>
      <c r="B170" s="91">
        <f t="shared" si="15"/>
        <v>0</v>
      </c>
      <c r="C170" s="91">
        <f t="shared" si="15"/>
        <v>0</v>
      </c>
      <c r="D170" s="91">
        <f t="shared" si="15"/>
        <v>0</v>
      </c>
      <c r="E170" s="30">
        <f>SUM(B170:D170)</f>
        <v>0</v>
      </c>
    </row>
    <row r="171" spans="1:5" ht="12.75" hidden="1" customHeight="1" outlineLevel="1" x14ac:dyDescent="0.2">
      <c r="A171" s="89" t="str">
        <f>"         "&amp;Labels!C110</f>
        <v xml:space="preserve">         Subtotal</v>
      </c>
      <c r="B171" s="90">
        <f>SUM(B169:B170)</f>
        <v>0</v>
      </c>
      <c r="C171" s="90">
        <f>SUM(C169:C170)</f>
        <v>0</v>
      </c>
      <c r="D171" s="90">
        <f>SUM(D169:D170)</f>
        <v>0</v>
      </c>
      <c r="E171" s="30">
        <f>SUM(E169:E170)</f>
        <v>0</v>
      </c>
    </row>
    <row r="172" spans="1:5" ht="12.75" hidden="1" customHeight="1" outlineLevel="1" x14ac:dyDescent="0.2">
      <c r="A172" s="28" t="str">
        <f>"      "&amp;Labels!C102</f>
        <v xml:space="preserve">      Total</v>
      </c>
      <c r="B172" s="70">
        <f>SUM(B162,B165:B167,B171)</f>
        <v>1</v>
      </c>
      <c r="C172" s="70">
        <f>SUM(C162,C165:C167,C171)</f>
        <v>1</v>
      </c>
      <c r="D172" s="70">
        <f>SUM(D162,D165:D167,D171)</f>
        <v>1</v>
      </c>
      <c r="E172" s="30">
        <f>SUM(E162,E165:E167,E171)</f>
        <v>3</v>
      </c>
    </row>
    <row r="173" spans="1:5" ht="12.75" hidden="1" customHeight="1" outlineLevel="1" x14ac:dyDescent="0.2">
      <c r="A173" s="28" t="str">
        <f>"   "&amp;Labels!B94</f>
        <v xml:space="preserve">   Convert</v>
      </c>
      <c r="B173" s="70"/>
      <c r="C173" s="70"/>
      <c r="D173" s="70"/>
      <c r="E173" s="30"/>
    </row>
    <row r="174" spans="1:5" ht="12.75" hidden="1" customHeight="1" outlineLevel="1" x14ac:dyDescent="0.2">
      <c r="A174" s="89" t="str">
        <f>"      "&amp;Labels!B103</f>
        <v xml:space="preserve">      Conv Note</v>
      </c>
      <c r="B174" s="90"/>
      <c r="C174" s="90"/>
      <c r="D174" s="90"/>
      <c r="E174" s="30"/>
    </row>
    <row r="175" spans="1:5" ht="12.75" hidden="1" customHeight="1" outlineLevel="1" x14ac:dyDescent="0.2">
      <c r="A175" s="89" t="str">
        <f>"         "&amp;Labels!B104</f>
        <v xml:space="preserve">         Series B</v>
      </c>
      <c r="B175" s="91">
        <f t="shared" ref="B175:D176" si="16">B98</f>
        <v>0</v>
      </c>
      <c r="C175" s="91">
        <f t="shared" si="16"/>
        <v>0</v>
      </c>
      <c r="D175" s="91">
        <f t="shared" si="16"/>
        <v>0</v>
      </c>
      <c r="E175" s="30">
        <f>SUM(B175:D175)</f>
        <v>0</v>
      </c>
    </row>
    <row r="176" spans="1:5" ht="12.75" hidden="1" customHeight="1" outlineLevel="1" x14ac:dyDescent="0.2">
      <c r="A176" s="89" t="str">
        <f>"         "&amp;Labels!B105</f>
        <v xml:space="preserve">         Series A</v>
      </c>
      <c r="B176" s="91">
        <f t="shared" si="16"/>
        <v>0</v>
      </c>
      <c r="C176" s="91">
        <f t="shared" si="16"/>
        <v>0</v>
      </c>
      <c r="D176" s="91">
        <f t="shared" si="16"/>
        <v>0</v>
      </c>
      <c r="E176" s="30">
        <f>SUM(B176:D176)</f>
        <v>0</v>
      </c>
    </row>
    <row r="177" spans="1:5" ht="12.75" hidden="1" customHeight="1" outlineLevel="1" x14ac:dyDescent="0.2">
      <c r="A177" s="89" t="str">
        <f>"         "&amp;Labels!C103</f>
        <v xml:space="preserve">         Subtotal</v>
      </c>
      <c r="B177" s="90">
        <f>SUM(B175:B176)</f>
        <v>0</v>
      </c>
      <c r="C177" s="90">
        <f>SUM(C175:C176)</f>
        <v>0</v>
      </c>
      <c r="D177" s="90">
        <f>SUM(D175:D176)</f>
        <v>0</v>
      </c>
      <c r="E177" s="30">
        <f>SUM(E175:E176)</f>
        <v>0</v>
      </c>
    </row>
    <row r="178" spans="1:5" ht="12.75" hidden="1" customHeight="1" outlineLevel="1" x14ac:dyDescent="0.2">
      <c r="A178" s="89" t="str">
        <f>"      "&amp;Labels!B106</f>
        <v xml:space="preserve">      Preferred</v>
      </c>
      <c r="B178" s="90"/>
      <c r="C178" s="90"/>
      <c r="D178" s="90"/>
      <c r="E178" s="30"/>
    </row>
    <row r="179" spans="1:5" ht="12.75" hidden="1" customHeight="1" outlineLevel="1" x14ac:dyDescent="0.2">
      <c r="A179" s="89" t="str">
        <f>"         "&amp;Labels!B107</f>
        <v xml:space="preserve">         Series A</v>
      </c>
      <c r="B179" s="91">
        <f>B102</f>
        <v>0</v>
      </c>
      <c r="C179" s="91">
        <f>C102</f>
        <v>0</v>
      </c>
      <c r="D179" s="91">
        <f>D102</f>
        <v>0</v>
      </c>
      <c r="E179" s="30">
        <f>SUM(B179:D179)</f>
        <v>0</v>
      </c>
    </row>
    <row r="180" spans="1:5" ht="12.75" hidden="1" customHeight="1" outlineLevel="1" x14ac:dyDescent="0.2">
      <c r="A180" s="89" t="str">
        <f>"         "&amp;Labels!C106</f>
        <v xml:space="preserve">         Subtotal</v>
      </c>
      <c r="B180" s="90">
        <f>B179</f>
        <v>0</v>
      </c>
      <c r="C180" s="90">
        <f>C179</f>
        <v>0</v>
      </c>
      <c r="D180" s="90">
        <f>D179</f>
        <v>0</v>
      </c>
      <c r="E180" s="30">
        <f>E179</f>
        <v>0</v>
      </c>
    </row>
    <row r="181" spans="1:5" ht="12.75" hidden="1" customHeight="1" outlineLevel="1" x14ac:dyDescent="0.2">
      <c r="A181" s="89" t="str">
        <f>"      "&amp;Labels!B108</f>
        <v xml:space="preserve">      Common</v>
      </c>
      <c r="B181" s="90">
        <f t="shared" ref="B181:D182" si="17">B104</f>
        <v>0</v>
      </c>
      <c r="C181" s="90">
        <f t="shared" si="17"/>
        <v>0</v>
      </c>
      <c r="D181" s="90">
        <f t="shared" si="17"/>
        <v>0</v>
      </c>
      <c r="E181" s="30">
        <f>SUM(B181:D181)</f>
        <v>0</v>
      </c>
    </row>
    <row r="182" spans="1:5" ht="12.75" hidden="1" customHeight="1" outlineLevel="1" x14ac:dyDescent="0.2">
      <c r="A182" s="89" t="str">
        <f>"      "&amp;Labels!B109</f>
        <v xml:space="preserve">      Warrant</v>
      </c>
      <c r="B182" s="90">
        <f t="shared" si="17"/>
        <v>0</v>
      </c>
      <c r="C182" s="90">
        <f t="shared" si="17"/>
        <v>0</v>
      </c>
      <c r="D182" s="90">
        <f t="shared" si="17"/>
        <v>0</v>
      </c>
      <c r="E182" s="30">
        <f>SUM(B182:D182)</f>
        <v>0</v>
      </c>
    </row>
    <row r="183" spans="1:5" ht="12.75" hidden="1" customHeight="1" outlineLevel="1" x14ac:dyDescent="0.2">
      <c r="A183" s="89" t="str">
        <f>"      "&amp;Labels!B110</f>
        <v xml:space="preserve">      Option</v>
      </c>
      <c r="B183" s="90"/>
      <c r="C183" s="90"/>
      <c r="D183" s="90"/>
      <c r="E183" s="30"/>
    </row>
    <row r="184" spans="1:5" ht="12.75" hidden="1" customHeight="1" outlineLevel="1" x14ac:dyDescent="0.2">
      <c r="A184" s="89" t="str">
        <f>"         "&amp;Labels!B111</f>
        <v xml:space="preserve">         Series B</v>
      </c>
      <c r="B184" s="91">
        <f t="shared" ref="B184:D185" si="18">B107</f>
        <v>0</v>
      </c>
      <c r="C184" s="91">
        <f t="shared" si="18"/>
        <v>0</v>
      </c>
      <c r="D184" s="91">
        <f t="shared" si="18"/>
        <v>0</v>
      </c>
      <c r="E184" s="30">
        <f>SUM(B184:D184)</f>
        <v>0</v>
      </c>
    </row>
    <row r="185" spans="1:5" ht="12.75" hidden="1" customHeight="1" outlineLevel="1" x14ac:dyDescent="0.2">
      <c r="A185" s="89" t="str">
        <f>"         "&amp;Labels!B112</f>
        <v xml:space="preserve">         Series A</v>
      </c>
      <c r="B185" s="91">
        <f t="shared" si="18"/>
        <v>0</v>
      </c>
      <c r="C185" s="91">
        <f t="shared" si="18"/>
        <v>0</v>
      </c>
      <c r="D185" s="91">
        <f t="shared" si="18"/>
        <v>0</v>
      </c>
      <c r="E185" s="30">
        <f>SUM(B185:D185)</f>
        <v>0</v>
      </c>
    </row>
    <row r="186" spans="1:5" ht="12.75" hidden="1" customHeight="1" outlineLevel="1" x14ac:dyDescent="0.2">
      <c r="A186" s="89" t="str">
        <f>"         "&amp;Labels!C110</f>
        <v xml:space="preserve">         Subtotal</v>
      </c>
      <c r="B186" s="90">
        <f>SUM(B184:B185)</f>
        <v>0</v>
      </c>
      <c r="C186" s="90">
        <f>SUM(C184:C185)</f>
        <v>0</v>
      </c>
      <c r="D186" s="90">
        <f>SUM(D184:D185)</f>
        <v>0</v>
      </c>
      <c r="E186" s="30">
        <f>SUM(E184:E185)</f>
        <v>0</v>
      </c>
    </row>
    <row r="187" spans="1:5" ht="12.75" hidden="1" customHeight="1" outlineLevel="1" x14ac:dyDescent="0.2">
      <c r="A187" s="28" t="str">
        <f>"      "&amp;Labels!C102</f>
        <v xml:space="preserve">      Total</v>
      </c>
      <c r="B187" s="70">
        <f>SUM(B177,B180:B182,B186)</f>
        <v>0</v>
      </c>
      <c r="C187" s="70">
        <f>SUM(C177,C180:C182,C186)</f>
        <v>0</v>
      </c>
      <c r="D187" s="70">
        <f>SUM(D177,D180:D182,D186)</f>
        <v>0</v>
      </c>
      <c r="E187" s="30">
        <f>SUM(E177,E180:E182,E186)</f>
        <v>0</v>
      </c>
    </row>
    <row r="188" spans="1:5" ht="12.75" hidden="1" customHeight="1" outlineLevel="1" x14ac:dyDescent="0.2">
      <c r="A188" s="28" t="str">
        <f>"   "&amp;Labels!B95</f>
        <v xml:space="preserve">   End</v>
      </c>
      <c r="B188" s="70"/>
      <c r="C188" s="70"/>
      <c r="D188" s="70"/>
      <c r="E188" s="30"/>
    </row>
    <row r="189" spans="1:5" ht="12.75" hidden="1" customHeight="1" outlineLevel="1" x14ac:dyDescent="0.2">
      <c r="A189" s="89" t="str">
        <f>"      "&amp;Labels!B103</f>
        <v xml:space="preserve">      Conv Note</v>
      </c>
      <c r="B189" s="90"/>
      <c r="C189" s="90"/>
      <c r="D189" s="90"/>
      <c r="E189" s="30"/>
    </row>
    <row r="190" spans="1:5" ht="12.75" hidden="1" customHeight="1" outlineLevel="1" x14ac:dyDescent="0.2">
      <c r="A190" s="89" t="str">
        <f>"         "&amp;Labels!B104</f>
        <v xml:space="preserve">         Series B</v>
      </c>
      <c r="B190" s="91">
        <f t="shared" ref="B190:D191" si="19">B160+B175</f>
        <v>0</v>
      </c>
      <c r="C190" s="91">
        <f t="shared" si="19"/>
        <v>0</v>
      </c>
      <c r="D190" s="91">
        <f t="shared" si="19"/>
        <v>0</v>
      </c>
      <c r="E190" s="30">
        <f>SUM(B190:D190)</f>
        <v>0</v>
      </c>
    </row>
    <row r="191" spans="1:5" ht="12.75" hidden="1" customHeight="1" outlineLevel="1" x14ac:dyDescent="0.2">
      <c r="A191" s="89" t="str">
        <f>"         "&amp;Labels!B105</f>
        <v xml:space="preserve">         Series A</v>
      </c>
      <c r="B191" s="91">
        <f t="shared" si="19"/>
        <v>0</v>
      </c>
      <c r="C191" s="91">
        <f t="shared" si="19"/>
        <v>0</v>
      </c>
      <c r="D191" s="91">
        <f t="shared" si="19"/>
        <v>0</v>
      </c>
      <c r="E191" s="30">
        <f>SUM(B191:D191)</f>
        <v>0</v>
      </c>
    </row>
    <row r="192" spans="1:5" ht="12.75" hidden="1" customHeight="1" outlineLevel="1" x14ac:dyDescent="0.2">
      <c r="A192" s="89" t="str">
        <f>"         "&amp;Labels!C103</f>
        <v xml:space="preserve">         Subtotal</v>
      </c>
      <c r="B192" s="90">
        <f>SUM(B190:B191)</f>
        <v>0</v>
      </c>
      <c r="C192" s="90">
        <f>SUM(C190:C191)</f>
        <v>0</v>
      </c>
      <c r="D192" s="90">
        <f>SUM(D190:D191)</f>
        <v>0</v>
      </c>
      <c r="E192" s="30">
        <f>SUM(E190:E191)</f>
        <v>0</v>
      </c>
    </row>
    <row r="193" spans="1:5" ht="12.75" hidden="1" customHeight="1" outlineLevel="1" x14ac:dyDescent="0.2">
      <c r="A193" s="89" t="str">
        <f>"      "&amp;Labels!B106</f>
        <v xml:space="preserve">      Preferred</v>
      </c>
      <c r="B193" s="90"/>
      <c r="C193" s="90"/>
      <c r="D193" s="90"/>
      <c r="E193" s="30"/>
    </row>
    <row r="194" spans="1:5" ht="12.75" hidden="1" customHeight="1" outlineLevel="1" x14ac:dyDescent="0.2">
      <c r="A194" s="89" t="str">
        <f>"         "&amp;Labels!B107</f>
        <v xml:space="preserve">         Series A</v>
      </c>
      <c r="B194" s="91">
        <f>B164+B179</f>
        <v>0</v>
      </c>
      <c r="C194" s="91">
        <f>C164+C179</f>
        <v>0</v>
      </c>
      <c r="D194" s="91">
        <f>D164+D179</f>
        <v>0</v>
      </c>
      <c r="E194" s="30">
        <f>SUM(B194:D194)</f>
        <v>0</v>
      </c>
    </row>
    <row r="195" spans="1:5" ht="12.75" hidden="1" customHeight="1" outlineLevel="1" x14ac:dyDescent="0.2">
      <c r="A195" s="89" t="str">
        <f>"         "&amp;Labels!C106</f>
        <v xml:space="preserve">         Subtotal</v>
      </c>
      <c r="B195" s="90">
        <f>B194</f>
        <v>0</v>
      </c>
      <c r="C195" s="90">
        <f>C194</f>
        <v>0</v>
      </c>
      <c r="D195" s="90">
        <f>D194</f>
        <v>0</v>
      </c>
      <c r="E195" s="30">
        <f>E194</f>
        <v>0</v>
      </c>
    </row>
    <row r="196" spans="1:5" ht="12.75" hidden="1" customHeight="1" outlineLevel="1" x14ac:dyDescent="0.2">
      <c r="A196" s="89" t="str">
        <f>"      "&amp;Labels!B108</f>
        <v xml:space="preserve">      Common</v>
      </c>
      <c r="B196" s="90">
        <f t="shared" ref="B196:D197" si="20">B166+B181</f>
        <v>1</v>
      </c>
      <c r="C196" s="90">
        <f t="shared" si="20"/>
        <v>1</v>
      </c>
      <c r="D196" s="90">
        <f t="shared" si="20"/>
        <v>1</v>
      </c>
      <c r="E196" s="30">
        <f>SUM(B196:D196)</f>
        <v>3</v>
      </c>
    </row>
    <row r="197" spans="1:5" ht="12.75" hidden="1" customHeight="1" outlineLevel="1" x14ac:dyDescent="0.2">
      <c r="A197" s="89" t="str">
        <f>"      "&amp;Labels!B109</f>
        <v xml:space="preserve">      Warrant</v>
      </c>
      <c r="B197" s="90">
        <f t="shared" si="20"/>
        <v>0</v>
      </c>
      <c r="C197" s="90">
        <f t="shared" si="20"/>
        <v>0</v>
      </c>
      <c r="D197" s="90">
        <f t="shared" si="20"/>
        <v>0</v>
      </c>
      <c r="E197" s="30">
        <f>SUM(B197:D197)</f>
        <v>0</v>
      </c>
    </row>
    <row r="198" spans="1:5" ht="12.75" hidden="1" customHeight="1" outlineLevel="1" x14ac:dyDescent="0.2">
      <c r="A198" s="89" t="str">
        <f>"      "&amp;Labels!B110</f>
        <v xml:space="preserve">      Option</v>
      </c>
      <c r="B198" s="90"/>
      <c r="C198" s="90"/>
      <c r="D198" s="90"/>
      <c r="E198" s="30"/>
    </row>
    <row r="199" spans="1:5" ht="12.75" hidden="1" customHeight="1" outlineLevel="1" x14ac:dyDescent="0.2">
      <c r="A199" s="89" t="str">
        <f>"         "&amp;Labels!B111</f>
        <v xml:space="preserve">         Series B</v>
      </c>
      <c r="B199" s="91">
        <f t="shared" ref="B199:D200" si="21">B169+B184</f>
        <v>0</v>
      </c>
      <c r="C199" s="91">
        <f t="shared" si="21"/>
        <v>0</v>
      </c>
      <c r="D199" s="91">
        <f t="shared" si="21"/>
        <v>0</v>
      </c>
      <c r="E199" s="30">
        <f>SUM(B199:D199)</f>
        <v>0</v>
      </c>
    </row>
    <row r="200" spans="1:5" ht="12.75" hidden="1" customHeight="1" outlineLevel="1" x14ac:dyDescent="0.2">
      <c r="A200" s="89" t="str">
        <f>"         "&amp;Labels!B112</f>
        <v xml:space="preserve">         Series A</v>
      </c>
      <c r="B200" s="91">
        <f t="shared" si="21"/>
        <v>0</v>
      </c>
      <c r="C200" s="91">
        <f t="shared" si="21"/>
        <v>0</v>
      </c>
      <c r="D200" s="91">
        <f t="shared" si="21"/>
        <v>0</v>
      </c>
      <c r="E200" s="30">
        <f>SUM(B200:D200)</f>
        <v>0</v>
      </c>
    </row>
    <row r="201" spans="1:5" ht="12.75" hidden="1" customHeight="1" outlineLevel="1" x14ac:dyDescent="0.2">
      <c r="A201" s="89" t="str">
        <f>"         "&amp;Labels!C110</f>
        <v xml:space="preserve">         Subtotal</v>
      </c>
      <c r="B201" s="90">
        <f>SUM(B199:B200)</f>
        <v>0</v>
      </c>
      <c r="C201" s="90">
        <f>SUM(C199:C200)</f>
        <v>0</v>
      </c>
      <c r="D201" s="90">
        <f>SUM(D199:D200)</f>
        <v>0</v>
      </c>
      <c r="E201" s="30">
        <f>SUM(E199:E200)</f>
        <v>0</v>
      </c>
    </row>
    <row r="202" spans="1:5" ht="12.75" hidden="1" customHeight="1" outlineLevel="1" x14ac:dyDescent="0.2">
      <c r="A202" s="35" t="str">
        <f>"      "&amp;Labels!C102</f>
        <v xml:space="preserve">      Total</v>
      </c>
      <c r="B202" s="93">
        <f>SUM(B192,B195:B197,B201)</f>
        <v>1</v>
      </c>
      <c r="C202" s="93">
        <f>SUM(C192,C195:C197,C201)</f>
        <v>1</v>
      </c>
      <c r="D202" s="93">
        <f>SUM(D192,D195:D197,D201)</f>
        <v>1</v>
      </c>
      <c r="E202" s="32">
        <f>SUM(E192,E195:E197,E201)</f>
        <v>3</v>
      </c>
    </row>
    <row r="203" spans="1:5" ht="12.75" hidden="1" customHeight="1" outlineLevel="1" x14ac:dyDescent="0.2"/>
    <row r="204" spans="1:5" ht="12.75" hidden="1" customHeight="1" outlineLevel="1" collapsed="1" x14ac:dyDescent="0.2"/>
    <row r="205" spans="1:5" ht="12.75" customHeight="1" collapsed="1" x14ac:dyDescent="0.2"/>
    <row r="206" spans="1:5" ht="12.75" customHeight="1" x14ac:dyDescent="0.2">
      <c r="A206" s="262" t="str">
        <f>"Net Investment"</f>
        <v>Net Investment</v>
      </c>
      <c r="B206" s="262"/>
    </row>
    <row r="207" spans="1:5" ht="12.75" hidden="1" customHeight="1" outlineLevel="1" x14ac:dyDescent="0.2">
      <c r="A207" s="1" t="str">
        <f>" "</f>
        <v xml:space="preserve"> </v>
      </c>
    </row>
    <row r="208" spans="1:5" ht="12.75" hidden="1" customHeight="1" outlineLevel="1" x14ac:dyDescent="0.2">
      <c r="B208" s="6" t="str">
        <f>Labels!B98</f>
        <v>Seed</v>
      </c>
      <c r="C208" s="7" t="str">
        <f>Labels!B99</f>
        <v>Round A</v>
      </c>
      <c r="D208" s="8" t="str">
        <f>Labels!B100</f>
        <v>Exit</v>
      </c>
    </row>
    <row r="209" spans="1:5" ht="12.75" hidden="1" customHeight="1" outlineLevel="1" x14ac:dyDescent="0.2">
      <c r="A209" s="4" t="str">
        <f>Labels!B20</f>
        <v>Event Date</v>
      </c>
      <c r="B209" s="94">
        <f>Inputs!B14</f>
        <v>40391</v>
      </c>
      <c r="C209" s="94">
        <f>Inputs!C14</f>
        <v>40725</v>
      </c>
      <c r="D209" s="95">
        <f>Inputs!D14</f>
        <v>41061</v>
      </c>
    </row>
    <row r="210" spans="1:5" ht="12.75" hidden="1" customHeight="1" outlineLevel="1" x14ac:dyDescent="0.2"/>
    <row r="211" spans="1:5" ht="12.75" hidden="1" customHeight="1" outlineLevel="1" x14ac:dyDescent="0.2">
      <c r="A211" s="11" t="str">
        <f>Labels!B39</f>
        <v>Net Investment</v>
      </c>
      <c r="B211" s="26"/>
      <c r="C211" s="26"/>
      <c r="D211" s="26"/>
      <c r="E211" s="27"/>
    </row>
    <row r="212" spans="1:5" ht="12.75" hidden="1" customHeight="1" outlineLevel="1" x14ac:dyDescent="0.2">
      <c r="A212" s="28" t="str">
        <f>"   "&amp;Labels!B91</f>
        <v xml:space="preserve">   Start</v>
      </c>
      <c r="B212" s="70"/>
      <c r="C212" s="70"/>
      <c r="D212" s="70"/>
      <c r="E212" s="30"/>
    </row>
    <row r="213" spans="1:5" ht="12.75" hidden="1" customHeight="1" outlineLevel="1" x14ac:dyDescent="0.2">
      <c r="A213" s="89" t="str">
        <f>"      "&amp;Labels!B103</f>
        <v xml:space="preserve">      Conv Note</v>
      </c>
      <c r="B213" s="90"/>
      <c r="C213" s="90"/>
      <c r="D213" s="90"/>
      <c r="E213" s="30"/>
    </row>
    <row r="214" spans="1:5" ht="12.75" hidden="1" customHeight="1" outlineLevel="1" x14ac:dyDescent="0.2">
      <c r="A214" s="89" t="str">
        <f>"         "&amp;Labels!B104</f>
        <v xml:space="preserve">         Series B</v>
      </c>
      <c r="B214" s="91">
        <f>0+B290</f>
        <v>0</v>
      </c>
      <c r="C214" s="91">
        <f>B274+C290</f>
        <v>0</v>
      </c>
      <c r="D214" s="91">
        <f>C274+D290</f>
        <v>0</v>
      </c>
      <c r="E214" s="30">
        <f>SUM(B214:D214)</f>
        <v>0</v>
      </c>
    </row>
    <row r="215" spans="1:5" ht="12.75" hidden="1" customHeight="1" outlineLevel="1" x14ac:dyDescent="0.2">
      <c r="A215" s="89" t="str">
        <f>"         "&amp;Labels!B105</f>
        <v xml:space="preserve">         Series A</v>
      </c>
      <c r="B215" s="91">
        <f>0+B291</f>
        <v>0</v>
      </c>
      <c r="C215" s="91">
        <f>B275+C291</f>
        <v>0</v>
      </c>
      <c r="D215" s="91">
        <f>C275+D291</f>
        <v>0</v>
      </c>
      <c r="E215" s="30">
        <f>SUM(B215:D215)</f>
        <v>0</v>
      </c>
    </row>
    <row r="216" spans="1:5" ht="12.75" hidden="1" customHeight="1" outlineLevel="1" x14ac:dyDescent="0.2">
      <c r="A216" s="89" t="str">
        <f>"         "&amp;Labels!C103</f>
        <v xml:space="preserve">         Subtotal</v>
      </c>
      <c r="B216" s="90">
        <f>SUM(B214:B215)</f>
        <v>0</v>
      </c>
      <c r="C216" s="90">
        <f>SUM(C214:C215)</f>
        <v>0</v>
      </c>
      <c r="D216" s="90">
        <f>SUM(D214:D215)</f>
        <v>0</v>
      </c>
      <c r="E216" s="30">
        <f>SUM(E214:E215)</f>
        <v>0</v>
      </c>
    </row>
    <row r="217" spans="1:5" ht="12.75" hidden="1" customHeight="1" outlineLevel="1" x14ac:dyDescent="0.2">
      <c r="A217" s="89" t="str">
        <f>"      "&amp;Labels!B106</f>
        <v xml:space="preserve">      Preferred</v>
      </c>
      <c r="B217" s="90"/>
      <c r="C217" s="90"/>
      <c r="D217" s="90"/>
      <c r="E217" s="30"/>
    </row>
    <row r="218" spans="1:5" ht="12.75" hidden="1" customHeight="1" outlineLevel="1" x14ac:dyDescent="0.2">
      <c r="A218" s="89" t="str">
        <f>"         "&amp;Labels!B107</f>
        <v xml:space="preserve">         Series A</v>
      </c>
      <c r="B218" s="91">
        <f>0+B294</f>
        <v>0</v>
      </c>
      <c r="C218" s="91">
        <f>B278+C294</f>
        <v>0</v>
      </c>
      <c r="D218" s="91">
        <f>C278+D294</f>
        <v>0</v>
      </c>
      <c r="E218" s="30">
        <f>SUM(B218:D218)</f>
        <v>0</v>
      </c>
    </row>
    <row r="219" spans="1:5" ht="12.75" hidden="1" customHeight="1" outlineLevel="1" x14ac:dyDescent="0.2">
      <c r="A219" s="89" t="str">
        <f>"         "&amp;Labels!C106</f>
        <v xml:space="preserve">         Subtotal</v>
      </c>
      <c r="B219" s="90">
        <f>B218</f>
        <v>0</v>
      </c>
      <c r="C219" s="90">
        <f>C218</f>
        <v>0</v>
      </c>
      <c r="D219" s="90">
        <f>D218</f>
        <v>0</v>
      </c>
      <c r="E219" s="30">
        <f>E218</f>
        <v>0</v>
      </c>
    </row>
    <row r="220" spans="1:5" ht="12.75" hidden="1" customHeight="1" outlineLevel="1" x14ac:dyDescent="0.2">
      <c r="A220" s="89" t="str">
        <f>"      "&amp;Labels!B108</f>
        <v xml:space="preserve">      Common</v>
      </c>
      <c r="B220" s="90">
        <f>0+B296</f>
        <v>0</v>
      </c>
      <c r="C220" s="90">
        <f>B280+C296</f>
        <v>1</v>
      </c>
      <c r="D220" s="90">
        <f>C280+D296</f>
        <v>1</v>
      </c>
      <c r="E220" s="30">
        <f>SUM(B220:D220)</f>
        <v>2</v>
      </c>
    </row>
    <row r="221" spans="1:5" ht="12.75" hidden="1" customHeight="1" outlineLevel="1" x14ac:dyDescent="0.2">
      <c r="A221" s="89" t="str">
        <f>"      "&amp;Labels!B109</f>
        <v xml:space="preserve">      Warrant</v>
      </c>
      <c r="B221" s="90">
        <f>0+B297</f>
        <v>0</v>
      </c>
      <c r="C221" s="90">
        <f>B281+C297</f>
        <v>0</v>
      </c>
      <c r="D221" s="90">
        <f>C281+D297</f>
        <v>0</v>
      </c>
      <c r="E221" s="30">
        <f>SUM(B221:D221)</f>
        <v>0</v>
      </c>
    </row>
    <row r="222" spans="1:5" ht="12.75" hidden="1" customHeight="1" outlineLevel="1" x14ac:dyDescent="0.2">
      <c r="A222" s="89" t="str">
        <f>"      "&amp;Labels!B110</f>
        <v xml:space="preserve">      Option</v>
      </c>
      <c r="B222" s="90"/>
      <c r="C222" s="90"/>
      <c r="D222" s="90"/>
      <c r="E222" s="30"/>
    </row>
    <row r="223" spans="1:5" ht="12.75" hidden="1" customHeight="1" outlineLevel="1" x14ac:dyDescent="0.2">
      <c r="A223" s="89" t="str">
        <f>"         "&amp;Labels!B111</f>
        <v xml:space="preserve">         Series B</v>
      </c>
      <c r="B223" s="91">
        <f>0+B299</f>
        <v>0</v>
      </c>
      <c r="C223" s="91">
        <f>B283+C299</f>
        <v>0</v>
      </c>
      <c r="D223" s="91">
        <f>C283+D299</f>
        <v>0</v>
      </c>
      <c r="E223" s="30">
        <f>SUM(B223:D223)</f>
        <v>0</v>
      </c>
    </row>
    <row r="224" spans="1:5" ht="12.75" hidden="1" customHeight="1" outlineLevel="1" x14ac:dyDescent="0.2">
      <c r="A224" s="89" t="str">
        <f>"         "&amp;Labels!B112</f>
        <v xml:space="preserve">         Series A</v>
      </c>
      <c r="B224" s="91">
        <f>0+B300</f>
        <v>0</v>
      </c>
      <c r="C224" s="91">
        <f>B284+C300</f>
        <v>0</v>
      </c>
      <c r="D224" s="91">
        <f>C284+D300</f>
        <v>0</v>
      </c>
      <c r="E224" s="30">
        <f>SUM(B224:D224)</f>
        <v>0</v>
      </c>
    </row>
    <row r="225" spans="1:5" ht="12.75" hidden="1" customHeight="1" outlineLevel="1" x14ac:dyDescent="0.2">
      <c r="A225" s="89" t="str">
        <f>"         "&amp;Labels!C110</f>
        <v xml:space="preserve">         Subtotal</v>
      </c>
      <c r="B225" s="90">
        <f>SUM(B223:B224)</f>
        <v>0</v>
      </c>
      <c r="C225" s="90">
        <f>SUM(C223:C224)</f>
        <v>0</v>
      </c>
      <c r="D225" s="90">
        <f>SUM(D223:D224)</f>
        <v>0</v>
      </c>
      <c r="E225" s="30">
        <f>SUM(E223:E224)</f>
        <v>0</v>
      </c>
    </row>
    <row r="226" spans="1:5" ht="12.75" hidden="1" customHeight="1" outlineLevel="1" x14ac:dyDescent="0.2">
      <c r="A226" s="28" t="str">
        <f>"      "&amp;Labels!C102</f>
        <v xml:space="preserve">      Total</v>
      </c>
      <c r="B226" s="70">
        <f>SUM(B216,B219:B221,B225)</f>
        <v>0</v>
      </c>
      <c r="C226" s="70">
        <f>SUM(C216,C219:C221,C225)</f>
        <v>1</v>
      </c>
      <c r="D226" s="70">
        <f>SUM(D216,D219:D221,D225)</f>
        <v>1</v>
      </c>
      <c r="E226" s="30">
        <f>SUM(E216,E219:E221,E225)</f>
        <v>2</v>
      </c>
    </row>
    <row r="227" spans="1:5" ht="12.75" hidden="1" customHeight="1" outlineLevel="1" x14ac:dyDescent="0.2">
      <c r="A227" s="28" t="str">
        <f>"   "&amp;Labels!B92</f>
        <v xml:space="preserve">   New Sales</v>
      </c>
      <c r="B227" s="70"/>
      <c r="C227" s="70"/>
      <c r="D227" s="70"/>
      <c r="E227" s="30"/>
    </row>
    <row r="228" spans="1:5" ht="12.75" hidden="1" customHeight="1" outlineLevel="1" x14ac:dyDescent="0.2">
      <c r="A228" s="89" t="str">
        <f>"      "&amp;Labels!B103</f>
        <v xml:space="preserve">      Conv Note</v>
      </c>
      <c r="B228" s="90"/>
      <c r="C228" s="90"/>
      <c r="D228" s="90"/>
      <c r="E228" s="30"/>
    </row>
    <row r="229" spans="1:5" ht="12.75" hidden="1" customHeight="1" outlineLevel="1" x14ac:dyDescent="0.2">
      <c r="A229" s="89" t="str">
        <f>"         "&amp;Labels!B104</f>
        <v xml:space="preserve">         Series B</v>
      </c>
      <c r="B229" s="91">
        <f>'(Other Variables)'!B230</f>
        <v>0</v>
      </c>
      <c r="C229" s="91">
        <f>'(Other Variables)'!C230</f>
        <v>0</v>
      </c>
      <c r="D229" s="91">
        <f>'(Other Variables)'!D230</f>
        <v>0</v>
      </c>
      <c r="E229" s="30">
        <f>SUM(B229:D229)</f>
        <v>0</v>
      </c>
    </row>
    <row r="230" spans="1:5" ht="12.75" hidden="1" customHeight="1" outlineLevel="1" x14ac:dyDescent="0.2">
      <c r="A230" s="89" t="str">
        <f>"         "&amp;Labels!B105</f>
        <v xml:space="preserve">         Series A</v>
      </c>
      <c r="B230" s="91">
        <f>'(Other Variables)'!B231</f>
        <v>0</v>
      </c>
      <c r="C230" s="91">
        <f>'(Other Variables)'!C231</f>
        <v>0</v>
      </c>
      <c r="D230" s="91">
        <f>'(Other Variables)'!D231</f>
        <v>0</v>
      </c>
      <c r="E230" s="30">
        <f>SUM(B230:D230)</f>
        <v>0</v>
      </c>
    </row>
    <row r="231" spans="1:5" ht="12.75" hidden="1" customHeight="1" outlineLevel="1" x14ac:dyDescent="0.2">
      <c r="A231" s="89" t="str">
        <f>"         "&amp;Labels!C103</f>
        <v xml:space="preserve">         Subtotal</v>
      </c>
      <c r="B231" s="90">
        <f>SUM(B229:B230)</f>
        <v>0</v>
      </c>
      <c r="C231" s="90">
        <f>SUM(C229:C230)</f>
        <v>0</v>
      </c>
      <c r="D231" s="90">
        <f>SUM(D229:D230)</f>
        <v>0</v>
      </c>
      <c r="E231" s="30">
        <f>SUM(E229:E230)</f>
        <v>0</v>
      </c>
    </row>
    <row r="232" spans="1:5" ht="12.75" hidden="1" customHeight="1" outlineLevel="1" x14ac:dyDescent="0.2">
      <c r="A232" s="89" t="str">
        <f>"      "&amp;Labels!B106</f>
        <v xml:space="preserve">      Preferred</v>
      </c>
      <c r="B232" s="90"/>
      <c r="C232" s="90"/>
      <c r="D232" s="90"/>
      <c r="E232" s="30"/>
    </row>
    <row r="233" spans="1:5" ht="12.75" hidden="1" customHeight="1" outlineLevel="1" x14ac:dyDescent="0.2">
      <c r="A233" s="89" t="str">
        <f>"         "&amp;Labels!B107</f>
        <v xml:space="preserve">         Series A</v>
      </c>
      <c r="B233" s="91">
        <f>'(Other Variables)'!B234</f>
        <v>0</v>
      </c>
      <c r="C233" s="91">
        <f>'(Other Variables)'!C234</f>
        <v>0</v>
      </c>
      <c r="D233" s="91">
        <f>'(Other Variables)'!D234</f>
        <v>0</v>
      </c>
      <c r="E233" s="30">
        <f>SUM(B233:D233)</f>
        <v>0</v>
      </c>
    </row>
    <row r="234" spans="1:5" ht="12.75" hidden="1" customHeight="1" outlineLevel="1" x14ac:dyDescent="0.2">
      <c r="A234" s="89" t="str">
        <f>"         "&amp;Labels!C106</f>
        <v xml:space="preserve">         Subtotal</v>
      </c>
      <c r="B234" s="90">
        <f>B233</f>
        <v>0</v>
      </c>
      <c r="C234" s="90">
        <f>C233</f>
        <v>0</v>
      </c>
      <c r="D234" s="90">
        <f>D233</f>
        <v>0</v>
      </c>
      <c r="E234" s="30">
        <f>E233</f>
        <v>0</v>
      </c>
    </row>
    <row r="235" spans="1:5" ht="12.75" hidden="1" customHeight="1" outlineLevel="1" x14ac:dyDescent="0.2">
      <c r="A235" s="89" t="str">
        <f>"      "&amp;Labels!B108</f>
        <v xml:space="preserve">      Common</v>
      </c>
      <c r="B235" s="90">
        <f>'(Other Variables)'!B236</f>
        <v>1</v>
      </c>
      <c r="C235" s="90">
        <f>'(Other Variables)'!C236</f>
        <v>0</v>
      </c>
      <c r="D235" s="90">
        <f>'(Other Variables)'!D236</f>
        <v>0</v>
      </c>
      <c r="E235" s="30">
        <f>SUM(B235:D235)</f>
        <v>1</v>
      </c>
    </row>
    <row r="236" spans="1:5" ht="12.75" hidden="1" customHeight="1" outlineLevel="1" x14ac:dyDescent="0.2">
      <c r="A236" s="89" t="str">
        <f>"      "&amp;Labels!B109</f>
        <v xml:space="preserve">      Warrant</v>
      </c>
      <c r="B236" s="90">
        <f>Shares!B73*Prices!B19</f>
        <v>0</v>
      </c>
      <c r="C236" s="90">
        <f>Shares!C73*Prices!C19</f>
        <v>0</v>
      </c>
      <c r="D236" s="90">
        <f>Shares!D73*Prices!D19</f>
        <v>0</v>
      </c>
      <c r="E236" s="30">
        <f>SUM(B236:D236)</f>
        <v>0</v>
      </c>
    </row>
    <row r="237" spans="1:5" ht="12.75" hidden="1" customHeight="1" outlineLevel="1" x14ac:dyDescent="0.2">
      <c r="A237" s="89" t="str">
        <f>"      "&amp;Labels!B110</f>
        <v xml:space="preserve">      Option</v>
      </c>
      <c r="B237" s="90"/>
      <c r="C237" s="90"/>
      <c r="D237" s="90"/>
      <c r="E237" s="30"/>
    </row>
    <row r="238" spans="1:5" ht="12.75" hidden="1" customHeight="1" outlineLevel="1" x14ac:dyDescent="0.2">
      <c r="A238" s="89" t="str">
        <f>"         "&amp;Labels!B111</f>
        <v xml:space="preserve">         Series B</v>
      </c>
      <c r="B238" s="91">
        <f>Shares!B75*Inputs!B96</f>
        <v>0</v>
      </c>
      <c r="C238" s="91">
        <f>Shares!C75*Inputs!C96</f>
        <v>0</v>
      </c>
      <c r="D238" s="91">
        <f>Shares!D75*Inputs!D96</f>
        <v>0</v>
      </c>
      <c r="E238" s="30">
        <f>SUM(B238:D238)</f>
        <v>0</v>
      </c>
    </row>
    <row r="239" spans="1:5" ht="12.75" hidden="1" customHeight="1" outlineLevel="1" x14ac:dyDescent="0.2">
      <c r="A239" s="89" t="str">
        <f>"         "&amp;Labels!B112</f>
        <v xml:space="preserve">         Series A</v>
      </c>
      <c r="B239" s="91">
        <f>Shares!B76*Inputs!B97</f>
        <v>0</v>
      </c>
      <c r="C239" s="91">
        <f>Shares!C76*Inputs!C97</f>
        <v>0</v>
      </c>
      <c r="D239" s="91">
        <f>Shares!D76*Inputs!D97</f>
        <v>0</v>
      </c>
      <c r="E239" s="30">
        <f>SUM(B239:D239)</f>
        <v>0</v>
      </c>
    </row>
    <row r="240" spans="1:5" ht="12.75" hidden="1" customHeight="1" outlineLevel="1" x14ac:dyDescent="0.2">
      <c r="A240" s="89" t="str">
        <f>"         "&amp;Labels!C110</f>
        <v xml:space="preserve">         Subtotal</v>
      </c>
      <c r="B240" s="90">
        <f>SUM(B238:B239)</f>
        <v>0</v>
      </c>
      <c r="C240" s="90">
        <f>SUM(C238:C239)</f>
        <v>0</v>
      </c>
      <c r="D240" s="90">
        <f>SUM(D238:D239)</f>
        <v>0</v>
      </c>
      <c r="E240" s="30">
        <f>SUM(E238:E239)</f>
        <v>0</v>
      </c>
    </row>
    <row r="241" spans="1:5" ht="12.75" hidden="1" customHeight="1" outlineLevel="1" x14ac:dyDescent="0.2">
      <c r="A241" s="28" t="str">
        <f>"      "&amp;Labels!C102</f>
        <v xml:space="preserve">      Total</v>
      </c>
      <c r="B241" s="70">
        <f>SUM(B231,B234:B236,B240)</f>
        <v>1</v>
      </c>
      <c r="C241" s="70">
        <f>SUM(C231,C234:C236,C240)</f>
        <v>0</v>
      </c>
      <c r="D241" s="70">
        <f>SUM(D231,D234:D236,D240)</f>
        <v>0</v>
      </c>
      <c r="E241" s="30">
        <f>SUM(E231,E234:E236,E240)</f>
        <v>1</v>
      </c>
    </row>
    <row r="242" spans="1:5" ht="12.75" hidden="1" customHeight="1" outlineLevel="1" x14ac:dyDescent="0.2">
      <c r="A242" s="28" t="str">
        <f>"   "&amp;Labels!B93</f>
        <v xml:space="preserve">   Post Sales</v>
      </c>
      <c r="B242" s="70"/>
      <c r="C242" s="70"/>
      <c r="D242" s="70"/>
      <c r="E242" s="30"/>
    </row>
    <row r="243" spans="1:5" ht="12.75" hidden="1" customHeight="1" outlineLevel="1" x14ac:dyDescent="0.2">
      <c r="A243" s="89" t="str">
        <f>"      "&amp;Labels!B103</f>
        <v xml:space="preserve">      Conv Note</v>
      </c>
      <c r="B243" s="90"/>
      <c r="C243" s="90"/>
      <c r="D243" s="90"/>
      <c r="E243" s="30"/>
    </row>
    <row r="244" spans="1:5" ht="12.75" hidden="1" customHeight="1" outlineLevel="1" x14ac:dyDescent="0.2">
      <c r="A244" s="89" t="str">
        <f>"         "&amp;Labels!B104</f>
        <v xml:space="preserve">         Series B</v>
      </c>
      <c r="B244" s="91">
        <f t="shared" ref="B244:D245" si="22">B214+B229</f>
        <v>0</v>
      </c>
      <c r="C244" s="91">
        <f t="shared" si="22"/>
        <v>0</v>
      </c>
      <c r="D244" s="91">
        <f t="shared" si="22"/>
        <v>0</v>
      </c>
      <c r="E244" s="30">
        <f>SUM(B244:D244)</f>
        <v>0</v>
      </c>
    </row>
    <row r="245" spans="1:5" ht="12.75" hidden="1" customHeight="1" outlineLevel="1" x14ac:dyDescent="0.2">
      <c r="A245" s="89" t="str">
        <f>"         "&amp;Labels!B105</f>
        <v xml:space="preserve">         Series A</v>
      </c>
      <c r="B245" s="91">
        <f t="shared" si="22"/>
        <v>0</v>
      </c>
      <c r="C245" s="91">
        <f t="shared" si="22"/>
        <v>0</v>
      </c>
      <c r="D245" s="91">
        <f t="shared" si="22"/>
        <v>0</v>
      </c>
      <c r="E245" s="30">
        <f>SUM(B245:D245)</f>
        <v>0</v>
      </c>
    </row>
    <row r="246" spans="1:5" ht="12.75" hidden="1" customHeight="1" outlineLevel="1" x14ac:dyDescent="0.2">
      <c r="A246" s="89" t="str">
        <f>"         "&amp;Labels!C103</f>
        <v xml:space="preserve">         Subtotal</v>
      </c>
      <c r="B246" s="90">
        <f>SUM(B244:B245)</f>
        <v>0</v>
      </c>
      <c r="C246" s="90">
        <f>SUM(C244:C245)</f>
        <v>0</v>
      </c>
      <c r="D246" s="90">
        <f>SUM(D244:D245)</f>
        <v>0</v>
      </c>
      <c r="E246" s="30">
        <f>SUM(E244:E245)</f>
        <v>0</v>
      </c>
    </row>
    <row r="247" spans="1:5" ht="12.75" hidden="1" customHeight="1" outlineLevel="1" x14ac:dyDescent="0.2">
      <c r="A247" s="89" t="str">
        <f>"      "&amp;Labels!B106</f>
        <v xml:space="preserve">      Preferred</v>
      </c>
      <c r="B247" s="90"/>
      <c r="C247" s="90"/>
      <c r="D247" s="90"/>
      <c r="E247" s="30"/>
    </row>
    <row r="248" spans="1:5" ht="12.75" hidden="1" customHeight="1" outlineLevel="1" x14ac:dyDescent="0.2">
      <c r="A248" s="89" t="str">
        <f>"         "&amp;Labels!B107</f>
        <v xml:space="preserve">         Series A</v>
      </c>
      <c r="B248" s="91">
        <f>B218+B233</f>
        <v>0</v>
      </c>
      <c r="C248" s="91">
        <f>C218+C233</f>
        <v>0</v>
      </c>
      <c r="D248" s="91">
        <f>D218+D233</f>
        <v>0</v>
      </c>
      <c r="E248" s="30">
        <f>SUM(B248:D248)</f>
        <v>0</v>
      </c>
    </row>
    <row r="249" spans="1:5" ht="12.75" hidden="1" customHeight="1" outlineLevel="1" x14ac:dyDescent="0.2">
      <c r="A249" s="89" t="str">
        <f>"         "&amp;Labels!C106</f>
        <v xml:space="preserve">         Subtotal</v>
      </c>
      <c r="B249" s="90">
        <f>B248</f>
        <v>0</v>
      </c>
      <c r="C249" s="90">
        <f>C248</f>
        <v>0</v>
      </c>
      <c r="D249" s="90">
        <f>D248</f>
        <v>0</v>
      </c>
      <c r="E249" s="30">
        <f>E248</f>
        <v>0</v>
      </c>
    </row>
    <row r="250" spans="1:5" ht="12.75" hidden="1" customHeight="1" outlineLevel="1" x14ac:dyDescent="0.2">
      <c r="A250" s="89" t="str">
        <f>"      "&amp;Labels!B108</f>
        <v xml:space="preserve">      Common</v>
      </c>
      <c r="B250" s="90">
        <f t="shared" ref="B250:D251" si="23">B220+B235</f>
        <v>1</v>
      </c>
      <c r="C250" s="90">
        <f t="shared" si="23"/>
        <v>1</v>
      </c>
      <c r="D250" s="90">
        <f t="shared" si="23"/>
        <v>1</v>
      </c>
      <c r="E250" s="30">
        <f>SUM(B250:D250)</f>
        <v>3</v>
      </c>
    </row>
    <row r="251" spans="1:5" ht="12.75" hidden="1" customHeight="1" outlineLevel="1" x14ac:dyDescent="0.2">
      <c r="A251" s="89" t="str">
        <f>"      "&amp;Labels!B109</f>
        <v xml:space="preserve">      Warrant</v>
      </c>
      <c r="B251" s="90">
        <f t="shared" si="23"/>
        <v>0</v>
      </c>
      <c r="C251" s="90">
        <f t="shared" si="23"/>
        <v>0</v>
      </c>
      <c r="D251" s="90">
        <f t="shared" si="23"/>
        <v>0</v>
      </c>
      <c r="E251" s="30">
        <f>SUM(B251:D251)</f>
        <v>0</v>
      </c>
    </row>
    <row r="252" spans="1:5" ht="12.75" hidden="1" customHeight="1" outlineLevel="1" x14ac:dyDescent="0.2">
      <c r="A252" s="89" t="str">
        <f>"      "&amp;Labels!B110</f>
        <v xml:space="preserve">      Option</v>
      </c>
      <c r="B252" s="90"/>
      <c r="C252" s="90"/>
      <c r="D252" s="90"/>
      <c r="E252" s="30"/>
    </row>
    <row r="253" spans="1:5" ht="12.75" hidden="1" customHeight="1" outlineLevel="1" x14ac:dyDescent="0.2">
      <c r="A253" s="89" t="str">
        <f>"         "&amp;Labels!B111</f>
        <v xml:space="preserve">         Series B</v>
      </c>
      <c r="B253" s="91">
        <f t="shared" ref="B253:D254" si="24">B223+B238</f>
        <v>0</v>
      </c>
      <c r="C253" s="91">
        <f t="shared" si="24"/>
        <v>0</v>
      </c>
      <c r="D253" s="91">
        <f t="shared" si="24"/>
        <v>0</v>
      </c>
      <c r="E253" s="30">
        <f>SUM(B253:D253)</f>
        <v>0</v>
      </c>
    </row>
    <row r="254" spans="1:5" ht="12.75" hidden="1" customHeight="1" outlineLevel="1" x14ac:dyDescent="0.2">
      <c r="A254" s="89" t="str">
        <f>"         "&amp;Labels!B112</f>
        <v xml:space="preserve">         Series A</v>
      </c>
      <c r="B254" s="91">
        <f t="shared" si="24"/>
        <v>0</v>
      </c>
      <c r="C254" s="91">
        <f t="shared" si="24"/>
        <v>0</v>
      </c>
      <c r="D254" s="91">
        <f t="shared" si="24"/>
        <v>0</v>
      </c>
      <c r="E254" s="30">
        <f>SUM(B254:D254)</f>
        <v>0</v>
      </c>
    </row>
    <row r="255" spans="1:5" ht="12.75" hidden="1" customHeight="1" outlineLevel="1" x14ac:dyDescent="0.2">
      <c r="A255" s="89" t="str">
        <f>"         "&amp;Labels!C110</f>
        <v xml:space="preserve">         Subtotal</v>
      </c>
      <c r="B255" s="90">
        <f>SUM(B253:B254)</f>
        <v>0</v>
      </c>
      <c r="C255" s="90">
        <f>SUM(C253:C254)</f>
        <v>0</v>
      </c>
      <c r="D255" s="90">
        <f>SUM(D253:D254)</f>
        <v>0</v>
      </c>
      <c r="E255" s="30">
        <f>SUM(E253:E254)</f>
        <v>0</v>
      </c>
    </row>
    <row r="256" spans="1:5" ht="12.75" hidden="1" customHeight="1" outlineLevel="1" x14ac:dyDescent="0.2">
      <c r="A256" s="28" t="str">
        <f>"      "&amp;Labels!C102</f>
        <v xml:space="preserve">      Total</v>
      </c>
      <c r="B256" s="70">
        <f>SUM(B246,B249:B251,B255)</f>
        <v>1</v>
      </c>
      <c r="C256" s="70">
        <f>SUM(C246,C249:C251,C255)</f>
        <v>1</v>
      </c>
      <c r="D256" s="70">
        <f>SUM(D246,D249:D251,D255)</f>
        <v>1</v>
      </c>
      <c r="E256" s="30">
        <f>SUM(E246,E249:E251,E255)</f>
        <v>3</v>
      </c>
    </row>
    <row r="257" spans="1:5" ht="12.75" hidden="1" customHeight="1" outlineLevel="1" x14ac:dyDescent="0.2">
      <c r="A257" s="28" t="str">
        <f>"   "&amp;Labels!B94</f>
        <v xml:space="preserve">   Convert</v>
      </c>
      <c r="B257" s="70"/>
      <c r="C257" s="70"/>
      <c r="D257" s="70"/>
      <c r="E257" s="30"/>
    </row>
    <row r="258" spans="1:5" ht="12.75" hidden="1" customHeight="1" outlineLevel="1" x14ac:dyDescent="0.2">
      <c r="A258" s="89" t="str">
        <f>"      "&amp;Labels!B103</f>
        <v xml:space="preserve">      Conv Note</v>
      </c>
      <c r="B258" s="90"/>
      <c r="C258" s="90"/>
      <c r="D258" s="90"/>
      <c r="E258" s="30"/>
    </row>
    <row r="259" spans="1:5" ht="12.75" hidden="1" customHeight="1" outlineLevel="1" x14ac:dyDescent="0.2">
      <c r="A259" s="89" t="str">
        <f>"         "&amp;Labels!B104</f>
        <v xml:space="preserve">         Series B</v>
      </c>
      <c r="B259" s="91">
        <f>Conversion!B28*B244</f>
        <v>0</v>
      </c>
      <c r="C259" s="91">
        <f>Conversion!C28*C244</f>
        <v>0</v>
      </c>
      <c r="D259" s="91">
        <f>Conversion!D28*D244</f>
        <v>0</v>
      </c>
      <c r="E259" s="30">
        <f>SUM(B259:D259)</f>
        <v>0</v>
      </c>
    </row>
    <row r="260" spans="1:5" ht="12.75" hidden="1" customHeight="1" outlineLevel="1" x14ac:dyDescent="0.2">
      <c r="A260" s="89" t="str">
        <f>"         "&amp;Labels!B105</f>
        <v xml:space="preserve">         Series A</v>
      </c>
      <c r="B260" s="91">
        <f>Conversion!B29*B245</f>
        <v>0</v>
      </c>
      <c r="C260" s="91">
        <f>Conversion!C29*C245</f>
        <v>0</v>
      </c>
      <c r="D260" s="91">
        <f>Conversion!D29*D245</f>
        <v>0</v>
      </c>
      <c r="E260" s="30">
        <f>SUM(B260:D260)</f>
        <v>0</v>
      </c>
    </row>
    <row r="261" spans="1:5" ht="12.75" hidden="1" customHeight="1" outlineLevel="1" x14ac:dyDescent="0.2">
      <c r="A261" s="89" t="str">
        <f>"         "&amp;Labels!C103</f>
        <v xml:space="preserve">         Subtotal</v>
      </c>
      <c r="B261" s="90">
        <f>SUM(B259:B260)</f>
        <v>0</v>
      </c>
      <c r="C261" s="90">
        <f>SUM(C259:C260)</f>
        <v>0</v>
      </c>
      <c r="D261" s="90">
        <f>SUM(D259:D260)</f>
        <v>0</v>
      </c>
      <c r="E261" s="30">
        <f>SUM(E259:E260)</f>
        <v>0</v>
      </c>
    </row>
    <row r="262" spans="1:5" ht="12.75" hidden="1" customHeight="1" outlineLevel="1" x14ac:dyDescent="0.2">
      <c r="A262" s="89" t="str">
        <f>"      "&amp;Labels!B106</f>
        <v xml:space="preserve">      Preferred</v>
      </c>
      <c r="B262" s="90"/>
      <c r="C262" s="90"/>
      <c r="D262" s="90"/>
      <c r="E262" s="30"/>
    </row>
    <row r="263" spans="1:5" ht="12.75" hidden="1" customHeight="1" outlineLevel="1" x14ac:dyDescent="0.2">
      <c r="A263" s="89" t="str">
        <f>"         "&amp;Labels!B107</f>
        <v xml:space="preserve">         Series A</v>
      </c>
      <c r="B263" s="91">
        <f>Conversion!B31*B248</f>
        <v>0</v>
      </c>
      <c r="C263" s="91">
        <f>Conversion!C31*C248</f>
        <v>0</v>
      </c>
      <c r="D263" s="91">
        <f>Conversion!D31*D248</f>
        <v>0</v>
      </c>
      <c r="E263" s="30">
        <f>SUM(B263:D263)</f>
        <v>0</v>
      </c>
    </row>
    <row r="264" spans="1:5" ht="12.75" hidden="1" customHeight="1" outlineLevel="1" x14ac:dyDescent="0.2">
      <c r="A264" s="89" t="str">
        <f>"         "&amp;Labels!C106</f>
        <v xml:space="preserve">         Subtotal</v>
      </c>
      <c r="B264" s="90">
        <f>B263</f>
        <v>0</v>
      </c>
      <c r="C264" s="90">
        <f>C263</f>
        <v>0</v>
      </c>
      <c r="D264" s="90">
        <f>D263</f>
        <v>0</v>
      </c>
      <c r="E264" s="30">
        <f>E263</f>
        <v>0</v>
      </c>
    </row>
    <row r="265" spans="1:5" ht="12.75" hidden="1" customHeight="1" outlineLevel="1" x14ac:dyDescent="0.2">
      <c r="A265" s="89" t="str">
        <f>"      "&amp;Labels!B108</f>
        <v xml:space="preserve">      Common</v>
      </c>
      <c r="B265" s="90">
        <f>Conversion!B32*B250</f>
        <v>0</v>
      </c>
      <c r="C265" s="90">
        <f>Conversion!C32*C250</f>
        <v>0</v>
      </c>
      <c r="D265" s="90">
        <f>Conversion!D32*D250</f>
        <v>0</v>
      </c>
      <c r="E265" s="30">
        <f>SUM(B265:D265)</f>
        <v>0</v>
      </c>
    </row>
    <row r="266" spans="1:5" ht="12.75" hidden="1" customHeight="1" outlineLevel="1" x14ac:dyDescent="0.2">
      <c r="A266" s="89" t="str">
        <f>"      "&amp;Labels!B109</f>
        <v xml:space="preserve">      Warrant</v>
      </c>
      <c r="B266" s="90">
        <f>Conversion!B33*B251</f>
        <v>0</v>
      </c>
      <c r="C266" s="90">
        <f>Conversion!C33*C251</f>
        <v>0</v>
      </c>
      <c r="D266" s="90">
        <f>Conversion!D33*D251</f>
        <v>0</v>
      </c>
      <c r="E266" s="30">
        <f>SUM(B266:D266)</f>
        <v>0</v>
      </c>
    </row>
    <row r="267" spans="1:5" ht="12.75" hidden="1" customHeight="1" outlineLevel="1" x14ac:dyDescent="0.2">
      <c r="A267" s="89" t="str">
        <f>"      "&amp;Labels!B110</f>
        <v xml:space="preserve">      Option</v>
      </c>
      <c r="B267" s="90"/>
      <c r="C267" s="90"/>
      <c r="D267" s="90"/>
      <c r="E267" s="30"/>
    </row>
    <row r="268" spans="1:5" ht="12.75" hidden="1" customHeight="1" outlineLevel="1" x14ac:dyDescent="0.2">
      <c r="A268" s="89" t="str">
        <f>"         "&amp;Labels!B111</f>
        <v xml:space="preserve">         Series B</v>
      </c>
      <c r="B268" s="91">
        <f>Conversion!B35*B253</f>
        <v>0</v>
      </c>
      <c r="C268" s="91">
        <f>Conversion!C35*C253</f>
        <v>0</v>
      </c>
      <c r="D268" s="91">
        <f>Conversion!D35*D253</f>
        <v>0</v>
      </c>
      <c r="E268" s="30">
        <f>SUM(B268:D268)</f>
        <v>0</v>
      </c>
    </row>
    <row r="269" spans="1:5" ht="12.75" hidden="1" customHeight="1" outlineLevel="1" x14ac:dyDescent="0.2">
      <c r="A269" s="89" t="str">
        <f>"         "&amp;Labels!B112</f>
        <v xml:space="preserve">         Series A</v>
      </c>
      <c r="B269" s="91">
        <f>Conversion!B36*B254</f>
        <v>0</v>
      </c>
      <c r="C269" s="91">
        <f>Conversion!C36*C254</f>
        <v>0</v>
      </c>
      <c r="D269" s="91">
        <f>Conversion!D36*D254</f>
        <v>0</v>
      </c>
      <c r="E269" s="30">
        <f>SUM(B269:D269)</f>
        <v>0</v>
      </c>
    </row>
    <row r="270" spans="1:5" ht="12.75" hidden="1" customHeight="1" outlineLevel="1" x14ac:dyDescent="0.2">
      <c r="A270" s="89" t="str">
        <f>"         "&amp;Labels!C110</f>
        <v xml:space="preserve">         Subtotal</v>
      </c>
      <c r="B270" s="90">
        <f>SUM(B268:B269)</f>
        <v>0</v>
      </c>
      <c r="C270" s="90">
        <f>SUM(C268:C269)</f>
        <v>0</v>
      </c>
      <c r="D270" s="90">
        <f>SUM(D268:D269)</f>
        <v>0</v>
      </c>
      <c r="E270" s="30">
        <f>SUM(E268:E269)</f>
        <v>0</v>
      </c>
    </row>
    <row r="271" spans="1:5" ht="12.75" hidden="1" customHeight="1" outlineLevel="1" x14ac:dyDescent="0.2">
      <c r="A271" s="28" t="str">
        <f>"      "&amp;Labels!C102</f>
        <v xml:space="preserve">      Total</v>
      </c>
      <c r="B271" s="70">
        <f>SUM(B261,B264:B266,B270)</f>
        <v>0</v>
      </c>
      <c r="C271" s="70">
        <f>SUM(C261,C264:C266,C270)</f>
        <v>0</v>
      </c>
      <c r="D271" s="70">
        <f>SUM(D261,D264:D266,D270)</f>
        <v>0</v>
      </c>
      <c r="E271" s="30">
        <f>SUM(E261,E264:E266,E270)</f>
        <v>0</v>
      </c>
    </row>
    <row r="272" spans="1:5" ht="12.75" hidden="1" customHeight="1" outlineLevel="1" x14ac:dyDescent="0.2">
      <c r="A272" s="28" t="str">
        <f>"   "&amp;Labels!B95</f>
        <v xml:space="preserve">   End</v>
      </c>
      <c r="B272" s="70"/>
      <c r="C272" s="70"/>
      <c r="D272" s="70"/>
      <c r="E272" s="30"/>
    </row>
    <row r="273" spans="1:5" ht="12.75" hidden="1" customHeight="1" outlineLevel="1" x14ac:dyDescent="0.2">
      <c r="A273" s="89" t="str">
        <f>"      "&amp;Labels!B103</f>
        <v xml:space="preserve">      Conv Note</v>
      </c>
      <c r="B273" s="90"/>
      <c r="C273" s="90"/>
      <c r="D273" s="90"/>
      <c r="E273" s="30"/>
    </row>
    <row r="274" spans="1:5" ht="12.75" hidden="1" customHeight="1" outlineLevel="1" x14ac:dyDescent="0.2">
      <c r="A274" s="89" t="str">
        <f>"         "&amp;Labels!B104</f>
        <v xml:space="preserve">         Series B</v>
      </c>
      <c r="B274" s="91">
        <f t="shared" ref="B274:D275" si="25">B244-B259</f>
        <v>0</v>
      </c>
      <c r="C274" s="91">
        <f t="shared" si="25"/>
        <v>0</v>
      </c>
      <c r="D274" s="91">
        <f t="shared" si="25"/>
        <v>0</v>
      </c>
      <c r="E274" s="30">
        <f>SUM(B274:D274)</f>
        <v>0</v>
      </c>
    </row>
    <row r="275" spans="1:5" ht="12.75" hidden="1" customHeight="1" outlineLevel="1" x14ac:dyDescent="0.2">
      <c r="A275" s="89" t="str">
        <f>"         "&amp;Labels!B105</f>
        <v xml:space="preserve">         Series A</v>
      </c>
      <c r="B275" s="91">
        <f t="shared" si="25"/>
        <v>0</v>
      </c>
      <c r="C275" s="91">
        <f t="shared" si="25"/>
        <v>0</v>
      </c>
      <c r="D275" s="91">
        <f t="shared" si="25"/>
        <v>0</v>
      </c>
      <c r="E275" s="30">
        <f>SUM(B275:D275)</f>
        <v>0</v>
      </c>
    </row>
    <row r="276" spans="1:5" ht="12.75" hidden="1" customHeight="1" outlineLevel="1" x14ac:dyDescent="0.2">
      <c r="A276" s="89" t="str">
        <f>"         "&amp;Labels!C103</f>
        <v xml:space="preserve">         Subtotal</v>
      </c>
      <c r="B276" s="90">
        <f>SUM(B274:B275)</f>
        <v>0</v>
      </c>
      <c r="C276" s="90">
        <f>SUM(C274:C275)</f>
        <v>0</v>
      </c>
      <c r="D276" s="90">
        <f>SUM(D274:D275)</f>
        <v>0</v>
      </c>
      <c r="E276" s="30">
        <f>SUM(E274:E275)</f>
        <v>0</v>
      </c>
    </row>
    <row r="277" spans="1:5" ht="12.75" hidden="1" customHeight="1" outlineLevel="1" x14ac:dyDescent="0.2">
      <c r="A277" s="89" t="str">
        <f>"      "&amp;Labels!B106</f>
        <v xml:space="preserve">      Preferred</v>
      </c>
      <c r="B277" s="90"/>
      <c r="C277" s="90"/>
      <c r="D277" s="90"/>
      <c r="E277" s="30"/>
    </row>
    <row r="278" spans="1:5" ht="12.75" hidden="1" customHeight="1" outlineLevel="1" x14ac:dyDescent="0.2">
      <c r="A278" s="89" t="str">
        <f>"         "&amp;Labels!B107</f>
        <v xml:space="preserve">         Series A</v>
      </c>
      <c r="B278" s="91">
        <f>B248-B263</f>
        <v>0</v>
      </c>
      <c r="C278" s="91">
        <f>C248-C263</f>
        <v>0</v>
      </c>
      <c r="D278" s="91">
        <f>D248-D263</f>
        <v>0</v>
      </c>
      <c r="E278" s="30">
        <f>SUM(B278:D278)</f>
        <v>0</v>
      </c>
    </row>
    <row r="279" spans="1:5" ht="12.75" hidden="1" customHeight="1" outlineLevel="1" x14ac:dyDescent="0.2">
      <c r="A279" s="89" t="str">
        <f>"         "&amp;Labels!C106</f>
        <v xml:space="preserve">         Subtotal</v>
      </c>
      <c r="B279" s="90">
        <f>B278</f>
        <v>0</v>
      </c>
      <c r="C279" s="90">
        <f>C278</f>
        <v>0</v>
      </c>
      <c r="D279" s="90">
        <f>D278</f>
        <v>0</v>
      </c>
      <c r="E279" s="30">
        <f>E278</f>
        <v>0</v>
      </c>
    </row>
    <row r="280" spans="1:5" ht="12.75" hidden="1" customHeight="1" outlineLevel="1" x14ac:dyDescent="0.2">
      <c r="A280" s="89" t="str">
        <f>"      "&amp;Labels!B108</f>
        <v xml:space="preserve">      Common</v>
      </c>
      <c r="B280" s="90">
        <f>B250+B271+'(Other Variables)'!B93</f>
        <v>1</v>
      </c>
      <c r="C280" s="90">
        <f>C250+C271+'(Other Variables)'!C93</f>
        <v>1</v>
      </c>
      <c r="D280" s="90">
        <f>D250+D271+'(Other Variables)'!D93</f>
        <v>1</v>
      </c>
      <c r="E280" s="30">
        <f>SUM(B280:D280)</f>
        <v>3</v>
      </c>
    </row>
    <row r="281" spans="1:5" ht="12.75" hidden="1" customHeight="1" outlineLevel="1" x14ac:dyDescent="0.2">
      <c r="A281" s="89" t="str">
        <f>"      "&amp;Labels!B109</f>
        <v xml:space="preserve">      Warrant</v>
      </c>
      <c r="B281" s="90">
        <f>B251-B266</f>
        <v>0</v>
      </c>
      <c r="C281" s="90">
        <f>C251-C266</f>
        <v>0</v>
      </c>
      <c r="D281" s="90">
        <f>D251-D266</f>
        <v>0</v>
      </c>
      <c r="E281" s="30">
        <f>SUM(B281:D281)</f>
        <v>0</v>
      </c>
    </row>
    <row r="282" spans="1:5" ht="12.75" hidden="1" customHeight="1" outlineLevel="1" x14ac:dyDescent="0.2">
      <c r="A282" s="89" t="str">
        <f>"      "&amp;Labels!B110</f>
        <v xml:space="preserve">      Option</v>
      </c>
      <c r="B282" s="90"/>
      <c r="C282" s="90"/>
      <c r="D282" s="90"/>
      <c r="E282" s="30"/>
    </row>
    <row r="283" spans="1:5" ht="12.75" hidden="1" customHeight="1" outlineLevel="1" x14ac:dyDescent="0.2">
      <c r="A283" s="89" t="str">
        <f>"         "&amp;Labels!B111</f>
        <v xml:space="preserve">         Series B</v>
      </c>
      <c r="B283" s="91">
        <f t="shared" ref="B283:D284" si="26">B253-B268</f>
        <v>0</v>
      </c>
      <c r="C283" s="91">
        <f t="shared" si="26"/>
        <v>0</v>
      </c>
      <c r="D283" s="91">
        <f t="shared" si="26"/>
        <v>0</v>
      </c>
      <c r="E283" s="30">
        <f>SUM(B283:D283)</f>
        <v>0</v>
      </c>
    </row>
    <row r="284" spans="1:5" ht="12.75" hidden="1" customHeight="1" outlineLevel="1" x14ac:dyDescent="0.2">
      <c r="A284" s="89" t="str">
        <f>"         "&amp;Labels!B112</f>
        <v xml:space="preserve">         Series A</v>
      </c>
      <c r="B284" s="91">
        <f t="shared" si="26"/>
        <v>0</v>
      </c>
      <c r="C284" s="91">
        <f t="shared" si="26"/>
        <v>0</v>
      </c>
      <c r="D284" s="91">
        <f t="shared" si="26"/>
        <v>0</v>
      </c>
      <c r="E284" s="30">
        <f>SUM(B284:D284)</f>
        <v>0</v>
      </c>
    </row>
    <row r="285" spans="1:5" ht="12.75" hidden="1" customHeight="1" outlineLevel="1" x14ac:dyDescent="0.2">
      <c r="A285" s="89" t="str">
        <f>"         "&amp;Labels!C110</f>
        <v xml:space="preserve">         Subtotal</v>
      </c>
      <c r="B285" s="90">
        <f>SUM(B283:B284)</f>
        <v>0</v>
      </c>
      <c r="C285" s="90">
        <f>SUM(C283:C284)</f>
        <v>0</v>
      </c>
      <c r="D285" s="90">
        <f>SUM(D283:D284)</f>
        <v>0</v>
      </c>
      <c r="E285" s="30">
        <f>SUM(E283:E284)</f>
        <v>0</v>
      </c>
    </row>
    <row r="286" spans="1:5" ht="12.75" hidden="1" customHeight="1" outlineLevel="1" x14ac:dyDescent="0.2">
      <c r="A286" s="28" t="str">
        <f>"      "&amp;Labels!C102</f>
        <v xml:space="preserve">      Total</v>
      </c>
      <c r="B286" s="70">
        <f>SUM(B276,B279:B281,B285)</f>
        <v>1</v>
      </c>
      <c r="C286" s="70">
        <f>SUM(C276,C279:C281,C285)</f>
        <v>1</v>
      </c>
      <c r="D286" s="70">
        <f>SUM(D276,D279:D281,D285)</f>
        <v>1</v>
      </c>
      <c r="E286" s="30">
        <f>SUM(E276,E279:E281,E285)</f>
        <v>3</v>
      </c>
    </row>
    <row r="287" spans="1:5" ht="12.75" hidden="1" customHeight="1" outlineLevel="1" x14ac:dyDescent="0.2">
      <c r="A287" s="4"/>
      <c r="B287" s="92"/>
      <c r="C287" s="92"/>
      <c r="D287" s="92"/>
      <c r="E287" s="4"/>
    </row>
    <row r="288" spans="1:5" ht="12.75" hidden="1" customHeight="1" outlineLevel="1" x14ac:dyDescent="0.2">
      <c r="A288" s="73" t="str">
        <f>Labels!B15</f>
        <v>Dividend</v>
      </c>
      <c r="B288" s="74"/>
      <c r="C288" s="74"/>
      <c r="D288" s="74"/>
      <c r="E288" s="30"/>
    </row>
    <row r="289" spans="1:5" ht="12.75" hidden="1" customHeight="1" outlineLevel="1" x14ac:dyDescent="0.2">
      <c r="A289" s="28" t="str">
        <f>"   "&amp;Labels!B103</f>
        <v xml:space="preserve">   Conv Note</v>
      </c>
      <c r="B289" s="70"/>
      <c r="C289" s="70"/>
      <c r="D289" s="70"/>
      <c r="E289" s="30"/>
    </row>
    <row r="290" spans="1:5" ht="12.75" hidden="1" customHeight="1" outlineLevel="1" x14ac:dyDescent="0.2">
      <c r="A290" s="89" t="str">
        <f>"      "&amp;Labels!B104</f>
        <v xml:space="preserve">      Series B</v>
      </c>
      <c r="B290" s="90">
        <f>Inputs!D23*0*(B209-B209)/365</f>
        <v>0</v>
      </c>
      <c r="C290" s="90">
        <f>Inputs!D23*B274*(C209-B209)/365</f>
        <v>0</v>
      </c>
      <c r="D290" s="90">
        <f>Inputs!D23*C274*(D209-C209)/365</f>
        <v>0</v>
      </c>
      <c r="E290" s="30">
        <f>SUM(B290:D290)</f>
        <v>0</v>
      </c>
    </row>
    <row r="291" spans="1:5" ht="12.75" hidden="1" customHeight="1" outlineLevel="1" x14ac:dyDescent="0.2">
      <c r="A291" s="89" t="str">
        <f>"      "&amp;Labels!B105</f>
        <v xml:space="preserve">      Series A</v>
      </c>
      <c r="B291" s="90">
        <f>Inputs!D24*0*(B209-B209)/365</f>
        <v>0</v>
      </c>
      <c r="C291" s="90">
        <f>Inputs!D24*B275*(C209-B209)/365</f>
        <v>0</v>
      </c>
      <c r="D291" s="90">
        <f>Inputs!D24*C275*(D209-C209)/365</f>
        <v>0</v>
      </c>
      <c r="E291" s="30">
        <f>SUM(B291:D291)</f>
        <v>0</v>
      </c>
    </row>
    <row r="292" spans="1:5" ht="12.75" hidden="1" customHeight="1" outlineLevel="1" x14ac:dyDescent="0.2">
      <c r="A292" s="28" t="str">
        <f>"      "&amp;Labels!C103</f>
        <v xml:space="preserve">      Subtotal</v>
      </c>
      <c r="B292" s="70">
        <f>SUM(B290:B291)</f>
        <v>0</v>
      </c>
      <c r="C292" s="70">
        <f>SUM(C290:C291)</f>
        <v>0</v>
      </c>
      <c r="D292" s="70">
        <f>SUM(D290:D291)</f>
        <v>0</v>
      </c>
      <c r="E292" s="30">
        <f>SUM(E290:E291)</f>
        <v>0</v>
      </c>
    </row>
    <row r="293" spans="1:5" ht="12.75" hidden="1" customHeight="1" outlineLevel="1" x14ac:dyDescent="0.2">
      <c r="A293" s="28" t="str">
        <f>"   "&amp;Labels!B106</f>
        <v xml:space="preserve">   Preferred</v>
      </c>
      <c r="B293" s="70"/>
      <c r="C293" s="70"/>
      <c r="D293" s="70"/>
      <c r="E293" s="30"/>
    </row>
    <row r="294" spans="1:5" ht="12.75" hidden="1" customHeight="1" outlineLevel="1" x14ac:dyDescent="0.2">
      <c r="A294" s="89" t="str">
        <f>"      "&amp;Labels!B107</f>
        <v xml:space="preserve">      Series A</v>
      </c>
      <c r="B294" s="90">
        <f>Inputs!C53*0*(B209-B209)/365</f>
        <v>0</v>
      </c>
      <c r="C294" s="90">
        <f>Inputs!C53*B278*(C209-B209)/365</f>
        <v>0</v>
      </c>
      <c r="D294" s="90">
        <f>Inputs!C53*C278*(D209-C209)/365</f>
        <v>0</v>
      </c>
      <c r="E294" s="30">
        <f>SUM(B294:D294)</f>
        <v>0</v>
      </c>
    </row>
    <row r="295" spans="1:5" ht="12.75" hidden="1" customHeight="1" outlineLevel="1" x14ac:dyDescent="0.2">
      <c r="A295" s="28" t="str">
        <f>"      "&amp;Labels!C106</f>
        <v xml:space="preserve">      Subtotal</v>
      </c>
      <c r="B295" s="70">
        <f>B294</f>
        <v>0</v>
      </c>
      <c r="C295" s="70">
        <f>C294</f>
        <v>0</v>
      </c>
      <c r="D295" s="70">
        <f>D294</f>
        <v>0</v>
      </c>
      <c r="E295" s="30">
        <f>E294</f>
        <v>0</v>
      </c>
    </row>
    <row r="296" spans="1:5" ht="12.75" hidden="1" customHeight="1" outlineLevel="1" x14ac:dyDescent="0.2">
      <c r="A296" s="28" t="str">
        <f>"   "&amp;Labels!B108</f>
        <v xml:space="preserve">   Common</v>
      </c>
      <c r="B296" s="70">
        <f>Inputs!B76</f>
        <v>0</v>
      </c>
      <c r="C296" s="70">
        <f>Inputs!C76</f>
        <v>0</v>
      </c>
      <c r="D296" s="70">
        <f>Inputs!D76</f>
        <v>0</v>
      </c>
      <c r="E296" s="30">
        <f>SUM(B296:D296)</f>
        <v>0</v>
      </c>
    </row>
    <row r="297" spans="1:5" ht="12.75" hidden="1" customHeight="1" outlineLevel="1" x14ac:dyDescent="0.2">
      <c r="A297" s="28" t="str">
        <f>"   "&amp;Labels!B109</f>
        <v xml:space="preserve">   Warrant</v>
      </c>
      <c r="B297" s="70">
        <f>Boneyard!B26*0*(B209-B209)/365</f>
        <v>0</v>
      </c>
      <c r="C297" s="70">
        <f>Boneyard!B26*B281*(C209-B209)/365</f>
        <v>0</v>
      </c>
      <c r="D297" s="70">
        <f>Boneyard!B26*C281*(D209-C209)/365</f>
        <v>0</v>
      </c>
      <c r="E297" s="30">
        <f>SUM(B297:D297)</f>
        <v>0</v>
      </c>
    </row>
    <row r="298" spans="1:5" ht="12.75" hidden="1" customHeight="1" outlineLevel="1" x14ac:dyDescent="0.2">
      <c r="A298" s="28" t="str">
        <f>"   "&amp;Labels!B110</f>
        <v xml:space="preserve">   Option</v>
      </c>
      <c r="B298" s="70"/>
      <c r="C298" s="70"/>
      <c r="D298" s="70"/>
      <c r="E298" s="30"/>
    </row>
    <row r="299" spans="1:5" ht="12.75" hidden="1" customHeight="1" outlineLevel="1" x14ac:dyDescent="0.2">
      <c r="A299" s="89" t="str">
        <f>"      "&amp;Labels!B111</f>
        <v xml:space="preserve">      Series B</v>
      </c>
      <c r="B299" s="90">
        <f>Boneyard!B28*0*(B209-B209)/365</f>
        <v>0</v>
      </c>
      <c r="C299" s="90">
        <f>Boneyard!B28*B283*(C209-B209)/365</f>
        <v>0</v>
      </c>
      <c r="D299" s="90">
        <f>Boneyard!B28*C283*(D209-C209)/365</f>
        <v>0</v>
      </c>
      <c r="E299" s="30">
        <f>SUM(B299:D299)</f>
        <v>0</v>
      </c>
    </row>
    <row r="300" spans="1:5" ht="12.75" hidden="1" customHeight="1" outlineLevel="1" x14ac:dyDescent="0.2">
      <c r="A300" s="89" t="str">
        <f>"      "&amp;Labels!B112</f>
        <v xml:space="preserve">      Series A</v>
      </c>
      <c r="B300" s="90">
        <f>Boneyard!B29*0*(B209-B209)/365</f>
        <v>0</v>
      </c>
      <c r="C300" s="90">
        <f>Boneyard!B29*B284*(C209-B209)/365</f>
        <v>0</v>
      </c>
      <c r="D300" s="90">
        <f>Boneyard!B29*C284*(D209-C209)/365</f>
        <v>0</v>
      </c>
      <c r="E300" s="30">
        <f>SUM(B300:D300)</f>
        <v>0</v>
      </c>
    </row>
    <row r="301" spans="1:5" ht="12.75" hidden="1" customHeight="1" outlineLevel="1" x14ac:dyDescent="0.2">
      <c r="A301" s="28" t="str">
        <f>"      "&amp;Labels!C110</f>
        <v xml:space="preserve">      Subtotal</v>
      </c>
      <c r="B301" s="70">
        <f>SUM(B299:B300)</f>
        <v>0</v>
      </c>
      <c r="C301" s="70">
        <f>SUM(C299:C300)</f>
        <v>0</v>
      </c>
      <c r="D301" s="70">
        <f>SUM(D299:D300)</f>
        <v>0</v>
      </c>
      <c r="E301" s="30">
        <f>SUM(E299:E300)</f>
        <v>0</v>
      </c>
    </row>
    <row r="302" spans="1:5" ht="12.75" hidden="1" customHeight="1" outlineLevel="1" x14ac:dyDescent="0.2">
      <c r="A302" s="15" t="str">
        <f>"   "&amp;Labels!C102</f>
        <v xml:space="preserve">   Total</v>
      </c>
      <c r="B302" s="31">
        <f>SUM(B292,B295:B297,B301)</f>
        <v>0</v>
      </c>
      <c r="C302" s="31">
        <f>SUM(C292,C295:C297,C301)</f>
        <v>0</v>
      </c>
      <c r="D302" s="31">
        <f>SUM(D292,D295:D297,D301)</f>
        <v>0</v>
      </c>
      <c r="E302" s="32">
        <f>SUM(E292,E295:E297,E301)</f>
        <v>0</v>
      </c>
    </row>
    <row r="303" spans="1:5" ht="12.75" hidden="1" customHeight="1" outlineLevel="1" x14ac:dyDescent="0.2"/>
    <row r="304" spans="1:5" ht="12.75" hidden="1" customHeight="1" outlineLevel="1" collapsed="1" x14ac:dyDescent="0.2"/>
    <row r="305" ht="12.75" customHeight="1" collapsed="1" x14ac:dyDescent="0.2"/>
  </sheetData>
  <mergeCells count="12">
    <mergeCell ref="A206:B206"/>
    <mergeCell ref="A1:D1"/>
    <mergeCell ref="A2:D2"/>
    <mergeCell ref="A3:D3"/>
    <mergeCell ref="A4:D4"/>
    <mergeCell ref="A5:D5"/>
    <mergeCell ref="A6:B6"/>
    <mergeCell ref="A8:B8"/>
    <mergeCell ref="A9:B9"/>
    <mergeCell ref="A27:B27"/>
    <mergeCell ref="A28:B28"/>
    <mergeCell ref="A47:B47"/>
  </mergeCells>
  <pageMargins left="0.25" right="0.25" top="0.5" bottom="0.5" header="0.5" footer="0.5"/>
  <pageSetup paperSize="9" fitToHeight="32767" orientation="landscape"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E126"/>
  <sheetViews>
    <sheetView zoomScaleNormal="100" workbookViewId="0"/>
  </sheetViews>
  <sheetFormatPr defaultRowHeight="12.75" customHeight="1" outlineLevelRow="1" x14ac:dyDescent="0.2"/>
  <cols>
    <col min="1" max="1" width="24.140625" customWidth="1"/>
    <col min="2" max="4" width="9.5703125" customWidth="1"/>
    <col min="5" max="5" width="9.42578125" customWidth="1"/>
  </cols>
  <sheetData>
    <row r="1" spans="1:4" ht="12.75" customHeight="1" x14ac:dyDescent="0.2">
      <c r="A1" s="261" t="str">
        <f>"Capitalization Table"</f>
        <v>Capitalization Table</v>
      </c>
      <c r="B1" s="261"/>
      <c r="C1" s="261"/>
      <c r="D1" s="261"/>
    </row>
    <row r="2" spans="1:4" ht="12.75" customHeight="1" x14ac:dyDescent="0.2">
      <c r="A2" s="261" t="str">
        <f>Inputs!B8</f>
        <v>ABC Corp.</v>
      </c>
      <c r="B2" s="261"/>
      <c r="C2" s="261"/>
      <c r="D2" s="261"/>
    </row>
    <row r="3" spans="1:4" ht="12.75" customHeight="1" x14ac:dyDescent="0.2">
      <c r="A3" s="261" t="str">
        <f>IF("Shares"="(Default Input)","Ignore this sheet in normal use.","Investment Scenario "&amp;1&amp;", Valuation Scenario "&amp;1)</f>
        <v>Investment Scenario 1, Valuation Scenario 1</v>
      </c>
      <c r="B3" s="261"/>
      <c r="C3" s="261"/>
      <c r="D3" s="261"/>
    </row>
    <row r="4" spans="1:4" ht="12.75" customHeight="1" x14ac:dyDescent="0.2">
      <c r="A4" s="261" t="str">
        <f>"Shares"</f>
        <v>Shares</v>
      </c>
      <c r="B4" s="261"/>
      <c r="C4" s="261"/>
      <c r="D4" s="261"/>
    </row>
    <row r="5" spans="1:4" ht="12.75" customHeight="1" x14ac:dyDescent="0.2">
      <c r="A5" s="261" t="str">
        <f>""</f>
        <v/>
      </c>
      <c r="B5" s="261"/>
      <c r="C5" s="261"/>
      <c r="D5" s="261"/>
    </row>
    <row r="6" spans="1:4" ht="12.75" customHeight="1" x14ac:dyDescent="0.2">
      <c r="B6" s="6" t="str">
        <f>Labels!B98</f>
        <v>Seed</v>
      </c>
      <c r="C6" s="7" t="str">
        <f>Labels!B99</f>
        <v>Round A</v>
      </c>
      <c r="D6" s="8" t="str">
        <f>Labels!B100</f>
        <v>Exit</v>
      </c>
    </row>
    <row r="7" spans="1:4" ht="12.75" customHeight="1" x14ac:dyDescent="0.2">
      <c r="A7" s="4" t="str">
        <f>Labels!B20</f>
        <v>Event Date</v>
      </c>
      <c r="B7" s="94">
        <f>Investment!B209</f>
        <v>40391</v>
      </c>
      <c r="C7" s="94">
        <f>Investment!C209</f>
        <v>40725</v>
      </c>
      <c r="D7" s="95">
        <f>Investment!D209</f>
        <v>41061</v>
      </c>
    </row>
    <row r="9" spans="1:4" ht="12.75" customHeight="1" x14ac:dyDescent="0.2">
      <c r="A9" s="262" t="str">
        <f>"Common Shares by Origin"</f>
        <v>Common Shares by Origin</v>
      </c>
      <c r="B9" s="262"/>
      <c r="C9" s="262"/>
    </row>
    <row r="10" spans="1:4" ht="12.75" customHeight="1" x14ac:dyDescent="0.2">
      <c r="A10" s="1" t="str">
        <f>" "</f>
        <v xml:space="preserve"> </v>
      </c>
    </row>
    <row r="11" spans="1:4" ht="12.75" customHeight="1" x14ac:dyDescent="0.2">
      <c r="B11" s="6" t="str">
        <f>Labels!B98</f>
        <v>Seed</v>
      </c>
      <c r="C11" s="7" t="str">
        <f>Labels!B99</f>
        <v>Round A</v>
      </c>
      <c r="D11" s="8" t="str">
        <f>Labels!B100</f>
        <v>Exit</v>
      </c>
    </row>
    <row r="12" spans="1:4" ht="12.75" customHeight="1" x14ac:dyDescent="0.2">
      <c r="A12" s="11" t="str">
        <f>Labels!B76</f>
        <v>Common Shares by Origin</v>
      </c>
      <c r="B12" s="60"/>
      <c r="C12" s="60"/>
      <c r="D12" s="96"/>
    </row>
    <row r="13" spans="1:4" ht="12.75" customHeight="1" x14ac:dyDescent="0.2">
      <c r="A13" s="28" t="str">
        <f>"   "&amp;Labels!B103</f>
        <v xml:space="preserve">   Conv Note</v>
      </c>
      <c r="B13" s="97"/>
      <c r="C13" s="97"/>
      <c r="D13" s="98"/>
    </row>
    <row r="14" spans="1:4" ht="12.75" customHeight="1" x14ac:dyDescent="0.2">
      <c r="A14" s="89" t="str">
        <f>"      "&amp;Labels!B104</f>
        <v xml:space="preserve">      Series B</v>
      </c>
      <c r="B14" s="99">
        <f>0*Inputs!B74+B96</f>
        <v>0</v>
      </c>
      <c r="C14" s="99">
        <f>B14*Inputs!C74+C96</f>
        <v>0</v>
      </c>
      <c r="D14" s="100">
        <f>C14*Inputs!D74+D96</f>
        <v>0</v>
      </c>
    </row>
    <row r="15" spans="1:4" ht="12.75" customHeight="1" x14ac:dyDescent="0.2">
      <c r="A15" s="89" t="str">
        <f>"      "&amp;Labels!B105</f>
        <v xml:space="preserve">      Series A</v>
      </c>
      <c r="B15" s="99">
        <f>0*Inputs!B74+B97</f>
        <v>0</v>
      </c>
      <c r="C15" s="99">
        <f>B15*Inputs!C74+C97</f>
        <v>0</v>
      </c>
      <c r="D15" s="100">
        <f>C15*Inputs!D74+D97</f>
        <v>0</v>
      </c>
    </row>
    <row r="16" spans="1:4" ht="12.75" customHeight="1" x14ac:dyDescent="0.2">
      <c r="A16" s="28" t="str">
        <f>"   "&amp;Labels!B106</f>
        <v xml:space="preserve">   Preferred</v>
      </c>
      <c r="B16" s="97"/>
      <c r="C16" s="97"/>
      <c r="D16" s="98"/>
    </row>
    <row r="17" spans="1:5" ht="12.75" customHeight="1" x14ac:dyDescent="0.2">
      <c r="A17" s="89" t="str">
        <f>"      "&amp;Labels!B107</f>
        <v xml:space="preserve">      Series A</v>
      </c>
      <c r="B17" s="99">
        <f>0*Inputs!B74+B100</f>
        <v>0</v>
      </c>
      <c r="C17" s="99">
        <f>B17*Inputs!C74+C100</f>
        <v>0</v>
      </c>
      <c r="D17" s="100">
        <f>C17*Inputs!D74+D100</f>
        <v>0</v>
      </c>
    </row>
    <row r="18" spans="1:5" ht="12.75" customHeight="1" x14ac:dyDescent="0.2">
      <c r="A18" s="28" t="str">
        <f>"   "&amp;Labels!B108</f>
        <v xml:space="preserve">   Common</v>
      </c>
      <c r="B18" s="97">
        <f>0*Inputs!B74+B72</f>
        <v>1</v>
      </c>
      <c r="C18" s="97">
        <f>B18*Inputs!C74+C72</f>
        <v>1</v>
      </c>
      <c r="D18" s="98">
        <f>C18*Inputs!D74+D72</f>
        <v>1</v>
      </c>
    </row>
    <row r="19" spans="1:5" ht="12.75" customHeight="1" x14ac:dyDescent="0.2">
      <c r="A19" s="28" t="str">
        <f>"   "&amp;Labels!B109</f>
        <v xml:space="preserve">   Warrant</v>
      </c>
      <c r="B19" s="97">
        <f>0*Inputs!B74+B103</f>
        <v>0</v>
      </c>
      <c r="C19" s="97">
        <f>B19*Inputs!C74+C103</f>
        <v>0</v>
      </c>
      <c r="D19" s="98">
        <f>C19*Inputs!D74+D103</f>
        <v>0</v>
      </c>
    </row>
    <row r="20" spans="1:5" ht="12.75" customHeight="1" x14ac:dyDescent="0.2">
      <c r="A20" s="28" t="str">
        <f>"   "&amp;Labels!B110</f>
        <v xml:space="preserve">   Option</v>
      </c>
      <c r="B20" s="97"/>
      <c r="C20" s="97"/>
      <c r="D20" s="98"/>
    </row>
    <row r="21" spans="1:5" ht="12.75" customHeight="1" x14ac:dyDescent="0.2">
      <c r="A21" s="89" t="str">
        <f>"      "&amp;Labels!B111</f>
        <v xml:space="preserve">      Series B</v>
      </c>
      <c r="B21" s="99">
        <f>0*Inputs!B74+B105</f>
        <v>0</v>
      </c>
      <c r="C21" s="99">
        <f>B21*Inputs!C74+C105</f>
        <v>0</v>
      </c>
      <c r="D21" s="100">
        <f>C21*Inputs!D74+D105</f>
        <v>0</v>
      </c>
    </row>
    <row r="22" spans="1:5" ht="12.75" customHeight="1" x14ac:dyDescent="0.2">
      <c r="A22" s="101" t="str">
        <f>"      "&amp;Labels!B112</f>
        <v xml:space="preserve">      Series A</v>
      </c>
      <c r="B22" s="102">
        <f>0*Inputs!B74+B106</f>
        <v>0</v>
      </c>
      <c r="C22" s="102">
        <f>B22*Inputs!C74+C106</f>
        <v>0</v>
      </c>
      <c r="D22" s="103">
        <f>C22*Inputs!D74+D106</f>
        <v>0</v>
      </c>
    </row>
    <row r="25" spans="1:5" ht="12.75" customHeight="1" x14ac:dyDescent="0.2">
      <c r="A25" s="262" t="str">
        <f>"Net Units of Securities at End of Round"</f>
        <v>Net Units of Securities at End of Round</v>
      </c>
      <c r="B25" s="262"/>
      <c r="C25" s="262"/>
      <c r="D25" s="262"/>
    </row>
    <row r="26" spans="1:5" ht="12.75" customHeight="1" x14ac:dyDescent="0.2">
      <c r="A26" s="1" t="str">
        <f>" "</f>
        <v xml:space="preserve"> </v>
      </c>
    </row>
    <row r="27" spans="1:5" ht="12.75" customHeight="1" x14ac:dyDescent="0.2">
      <c r="B27" s="6" t="str">
        <f>Labels!B98</f>
        <v>Seed</v>
      </c>
      <c r="C27" s="7" t="str">
        <f>Labels!B99</f>
        <v>Round A</v>
      </c>
      <c r="D27" s="7" t="str">
        <f>Labels!B100</f>
        <v>Exit</v>
      </c>
      <c r="E27" s="25" t="str">
        <f>Labels!C97</f>
        <v>Total</v>
      </c>
    </row>
    <row r="28" spans="1:5" ht="12.75" customHeight="1" x14ac:dyDescent="0.2">
      <c r="A28" s="11" t="str">
        <f>Labels!B78</f>
        <v>Net Units</v>
      </c>
      <c r="B28" s="60"/>
      <c r="C28" s="60"/>
      <c r="D28" s="60"/>
      <c r="E28" s="61"/>
    </row>
    <row r="29" spans="1:5" ht="12.75" customHeight="1" x14ac:dyDescent="0.2">
      <c r="A29" s="28" t="str">
        <f>"   "&amp;Labels!B103</f>
        <v xml:space="preserve">   Conv Note</v>
      </c>
      <c r="B29" s="97"/>
      <c r="C29" s="97"/>
      <c r="D29" s="97"/>
      <c r="E29" s="63"/>
    </row>
    <row r="30" spans="1:5" ht="12.75" customHeight="1" x14ac:dyDescent="0.2">
      <c r="A30" s="89" t="str">
        <f>"      "&amp;Labels!B104</f>
        <v xml:space="preserve">      Series B</v>
      </c>
      <c r="B30" s="99">
        <f t="shared" ref="B30:D31" si="0">0/3/2</f>
        <v>0</v>
      </c>
      <c r="C30" s="99">
        <f t="shared" si="0"/>
        <v>0</v>
      </c>
      <c r="D30" s="99">
        <f t="shared" si="0"/>
        <v>0</v>
      </c>
      <c r="E30" s="63">
        <f>SUM(B30:D30)</f>
        <v>0</v>
      </c>
    </row>
    <row r="31" spans="1:5" ht="12.75" customHeight="1" x14ac:dyDescent="0.2">
      <c r="A31" s="89" t="str">
        <f>"      "&amp;Labels!B105</f>
        <v xml:space="preserve">      Series A</v>
      </c>
      <c r="B31" s="99">
        <f t="shared" si="0"/>
        <v>0</v>
      </c>
      <c r="C31" s="99">
        <f t="shared" si="0"/>
        <v>0</v>
      </c>
      <c r="D31" s="99">
        <f t="shared" si="0"/>
        <v>0</v>
      </c>
      <c r="E31" s="63">
        <f>SUM(B31:D31)</f>
        <v>0</v>
      </c>
    </row>
    <row r="32" spans="1:5" ht="12.75" customHeight="1" x14ac:dyDescent="0.2">
      <c r="A32" s="28" t="str">
        <f>"      "&amp;Labels!C103</f>
        <v xml:space="preserve">      Subtotal</v>
      </c>
      <c r="B32" s="97">
        <f>SUM(B30:B31)</f>
        <v>0</v>
      </c>
      <c r="C32" s="97">
        <f>SUM(C30:C31)</f>
        <v>0</v>
      </c>
      <c r="D32" s="97">
        <f>SUM(D30:D31)</f>
        <v>0</v>
      </c>
      <c r="E32" s="63">
        <f>SUM(E30:E31)</f>
        <v>0</v>
      </c>
    </row>
    <row r="33" spans="1:5" ht="12.75" customHeight="1" x14ac:dyDescent="0.2">
      <c r="A33" s="28" t="str">
        <f>"   "&amp;Labels!B106</f>
        <v xml:space="preserve">   Preferred</v>
      </c>
      <c r="B33" s="97"/>
      <c r="C33" s="97"/>
      <c r="D33" s="97"/>
      <c r="E33" s="63"/>
    </row>
    <row r="34" spans="1:5" ht="12.75" customHeight="1" x14ac:dyDescent="0.2">
      <c r="A34" s="89" t="str">
        <f>"      "&amp;Labels!B107</f>
        <v xml:space="preserve">      Series A</v>
      </c>
      <c r="B34" s="99">
        <f>B85-B100</f>
        <v>0</v>
      </c>
      <c r="C34" s="99">
        <f>C85-C100</f>
        <v>0</v>
      </c>
      <c r="D34" s="99">
        <f>D85-D100</f>
        <v>0</v>
      </c>
      <c r="E34" s="63">
        <f>SUM(B34:D34)</f>
        <v>0</v>
      </c>
    </row>
    <row r="35" spans="1:5" ht="12.75" customHeight="1" x14ac:dyDescent="0.2">
      <c r="A35" s="28" t="str">
        <f>"      "&amp;Labels!C106</f>
        <v xml:space="preserve">      Subtotal</v>
      </c>
      <c r="B35" s="97">
        <f>B34</f>
        <v>0</v>
      </c>
      <c r="C35" s="97">
        <f>C34</f>
        <v>0</v>
      </c>
      <c r="D35" s="97">
        <f>D34</f>
        <v>0</v>
      </c>
      <c r="E35" s="63">
        <f>E34</f>
        <v>0</v>
      </c>
    </row>
    <row r="36" spans="1:5" ht="12.75" customHeight="1" x14ac:dyDescent="0.2">
      <c r="A36" s="28" t="str">
        <f>"   "&amp;Labels!B108</f>
        <v xml:space="preserve">   Common</v>
      </c>
      <c r="B36" s="97">
        <f>B87+B108</f>
        <v>1</v>
      </c>
      <c r="C36" s="97">
        <f>C87+C108</f>
        <v>1</v>
      </c>
      <c r="D36" s="97">
        <f>D87+D108</f>
        <v>1</v>
      </c>
      <c r="E36" s="63">
        <f>SUM(B36:D36)</f>
        <v>3</v>
      </c>
    </row>
    <row r="37" spans="1:5" ht="12.75" customHeight="1" x14ac:dyDescent="0.2">
      <c r="A37" s="28" t="str">
        <f>"   "&amp;Labels!B109</f>
        <v xml:space="preserve">   Warrant</v>
      </c>
      <c r="B37" s="97">
        <f>B88-B103</f>
        <v>0</v>
      </c>
      <c r="C37" s="97">
        <f>C88-C103</f>
        <v>0</v>
      </c>
      <c r="D37" s="97">
        <f>D88-D103</f>
        <v>0</v>
      </c>
      <c r="E37" s="63">
        <f>SUM(B37:D37)</f>
        <v>0</v>
      </c>
    </row>
    <row r="38" spans="1:5" ht="12.75" customHeight="1" x14ac:dyDescent="0.2">
      <c r="A38" s="28" t="str">
        <f>"   "&amp;Labels!B110</f>
        <v xml:space="preserve">   Option</v>
      </c>
      <c r="B38" s="97"/>
      <c r="C38" s="97"/>
      <c r="D38" s="97"/>
      <c r="E38" s="63"/>
    </row>
    <row r="39" spans="1:5" ht="12.75" customHeight="1" x14ac:dyDescent="0.2">
      <c r="A39" s="89" t="str">
        <f>"      "&amp;Labels!B111</f>
        <v xml:space="preserve">      Series B</v>
      </c>
      <c r="B39" s="99">
        <f t="shared" ref="B39:D40" si="1">B90-B105</f>
        <v>0</v>
      </c>
      <c r="C39" s="99">
        <f t="shared" si="1"/>
        <v>0</v>
      </c>
      <c r="D39" s="99">
        <f t="shared" si="1"/>
        <v>0</v>
      </c>
      <c r="E39" s="63">
        <f>SUM(B39:D39)</f>
        <v>0</v>
      </c>
    </row>
    <row r="40" spans="1:5" ht="12.75" customHeight="1" x14ac:dyDescent="0.2">
      <c r="A40" s="89" t="str">
        <f>"      "&amp;Labels!B112</f>
        <v xml:space="preserve">      Series A</v>
      </c>
      <c r="B40" s="99">
        <f t="shared" si="1"/>
        <v>0</v>
      </c>
      <c r="C40" s="99">
        <f t="shared" si="1"/>
        <v>0</v>
      </c>
      <c r="D40" s="99">
        <f t="shared" si="1"/>
        <v>0</v>
      </c>
      <c r="E40" s="63">
        <f>SUM(B40:D40)</f>
        <v>0</v>
      </c>
    </row>
    <row r="41" spans="1:5" ht="12.75" customHeight="1" x14ac:dyDescent="0.2">
      <c r="A41" s="28" t="str">
        <f>"      "&amp;Labels!C110</f>
        <v xml:space="preserve">      Subtotal</v>
      </c>
      <c r="B41" s="97">
        <f>SUM(B39:B40)</f>
        <v>0</v>
      </c>
      <c r="C41" s="97">
        <f>SUM(C39:C40)</f>
        <v>0</v>
      </c>
      <c r="D41" s="97">
        <f>SUM(D39:D40)</f>
        <v>0</v>
      </c>
      <c r="E41" s="63">
        <f>SUM(E39:E40)</f>
        <v>0</v>
      </c>
    </row>
    <row r="42" spans="1:5" ht="12.75" customHeight="1" x14ac:dyDescent="0.2">
      <c r="A42" s="15" t="str">
        <f>"   "&amp;Labels!C102</f>
        <v xml:space="preserve">   Total</v>
      </c>
      <c r="B42" s="64">
        <f>SUM(B32,B35:B37,B41)</f>
        <v>1</v>
      </c>
      <c r="C42" s="64">
        <f>SUM(C32,C35:C37,C41)</f>
        <v>1</v>
      </c>
      <c r="D42" s="64">
        <f>SUM(D32,D35:D37,D41)</f>
        <v>1</v>
      </c>
      <c r="E42" s="65">
        <f>SUM(E32,E35:E37,E41)</f>
        <v>3</v>
      </c>
    </row>
    <row r="45" spans="1:5" ht="12.75" customHeight="1" x14ac:dyDescent="0.2">
      <c r="A45" s="262" t="str">
        <f>"Net Units During Rounds"</f>
        <v>Net Units During Rounds</v>
      </c>
      <c r="B45" s="262"/>
      <c r="C45" s="262"/>
    </row>
    <row r="46" spans="1:5" ht="12.75" hidden="1" customHeight="1" outlineLevel="1" x14ac:dyDescent="0.2">
      <c r="A46" s="1" t="str">
        <f>" "</f>
        <v xml:space="preserve"> </v>
      </c>
    </row>
    <row r="47" spans="1:5" ht="12.75" hidden="1" customHeight="1" outlineLevel="1" x14ac:dyDescent="0.2">
      <c r="B47" s="6" t="str">
        <f>Labels!B98</f>
        <v>Seed</v>
      </c>
      <c r="C47" s="7" t="str">
        <f>Labels!B99</f>
        <v>Round A</v>
      </c>
      <c r="D47" s="7" t="str">
        <f>Labels!B100</f>
        <v>Exit</v>
      </c>
      <c r="E47" s="25" t="str">
        <f>Labels!C97</f>
        <v>Total</v>
      </c>
    </row>
    <row r="48" spans="1:5" ht="12.75" hidden="1" customHeight="1" outlineLevel="1" x14ac:dyDescent="0.2">
      <c r="A48" s="11" t="str">
        <f>Labels!B78</f>
        <v>Net Units</v>
      </c>
      <c r="B48" s="60"/>
      <c r="C48" s="60"/>
      <c r="D48" s="60"/>
      <c r="E48" s="61"/>
    </row>
    <row r="49" spans="1:5" ht="12.75" hidden="1" customHeight="1" outlineLevel="1" x14ac:dyDescent="0.2">
      <c r="A49" s="28" t="str">
        <f>"   "&amp;Labels!B91</f>
        <v xml:space="preserve">   Start</v>
      </c>
      <c r="B49" s="97"/>
      <c r="C49" s="97"/>
      <c r="D49" s="97"/>
      <c r="E49" s="63"/>
    </row>
    <row r="50" spans="1:5" ht="12.75" hidden="1" customHeight="1" outlineLevel="1" x14ac:dyDescent="0.2">
      <c r="A50" s="89" t="str">
        <f>"      "&amp;Labels!B103</f>
        <v xml:space="preserve">      Conv Note</v>
      </c>
      <c r="B50" s="99"/>
      <c r="C50" s="99"/>
      <c r="D50" s="99"/>
      <c r="E50" s="63"/>
    </row>
    <row r="51" spans="1:5" ht="12.75" hidden="1" customHeight="1" outlineLevel="1" x14ac:dyDescent="0.2">
      <c r="A51" s="89" t="str">
        <f>"         "&amp;Labels!B104</f>
        <v xml:space="preserve">         Series B</v>
      </c>
      <c r="B51" s="104">
        <f>0*Inputs!B74</f>
        <v>0</v>
      </c>
      <c r="C51" s="104">
        <f>B111*Inputs!C74</f>
        <v>0</v>
      </c>
      <c r="D51" s="104">
        <f>C111*Inputs!D74</f>
        <v>0</v>
      </c>
      <c r="E51" s="63">
        <f>SUM(B51:D51)</f>
        <v>0</v>
      </c>
    </row>
    <row r="52" spans="1:5" ht="12.75" hidden="1" customHeight="1" outlineLevel="1" x14ac:dyDescent="0.2">
      <c r="A52" s="89" t="str">
        <f>"         "&amp;Labels!B105</f>
        <v xml:space="preserve">         Series A</v>
      </c>
      <c r="B52" s="104">
        <f>0*Inputs!B74</f>
        <v>0</v>
      </c>
      <c r="C52" s="104">
        <f>B112*Inputs!C74</f>
        <v>0</v>
      </c>
      <c r="D52" s="104">
        <f>C112*Inputs!D74</f>
        <v>0</v>
      </c>
      <c r="E52" s="63">
        <f>SUM(B52:D52)</f>
        <v>0</v>
      </c>
    </row>
    <row r="53" spans="1:5" ht="12.75" hidden="1" customHeight="1" outlineLevel="1" x14ac:dyDescent="0.2">
      <c r="A53" s="89" t="str">
        <f>"         "&amp;Labels!C103</f>
        <v xml:space="preserve">         Subtotal</v>
      </c>
      <c r="B53" s="99">
        <f>SUM(B51:B52)</f>
        <v>0</v>
      </c>
      <c r="C53" s="99">
        <f>SUM(C51:C52)</f>
        <v>0</v>
      </c>
      <c r="D53" s="99">
        <f>SUM(D51:D52)</f>
        <v>0</v>
      </c>
      <c r="E53" s="63">
        <f>SUM(E51:E52)</f>
        <v>0</v>
      </c>
    </row>
    <row r="54" spans="1:5" ht="12.75" hidden="1" customHeight="1" outlineLevel="1" x14ac:dyDescent="0.2">
      <c r="A54" s="89" t="str">
        <f>"      "&amp;Labels!B106</f>
        <v xml:space="preserve">      Preferred</v>
      </c>
      <c r="B54" s="99"/>
      <c r="C54" s="99"/>
      <c r="D54" s="99"/>
      <c r="E54" s="63"/>
    </row>
    <row r="55" spans="1:5" ht="12.75" hidden="1" customHeight="1" outlineLevel="1" x14ac:dyDescent="0.2">
      <c r="A55" s="89" t="str">
        <f>"         "&amp;Labels!B107</f>
        <v xml:space="preserve">         Series A</v>
      </c>
      <c r="B55" s="104">
        <f>0*Inputs!B74</f>
        <v>0</v>
      </c>
      <c r="C55" s="104">
        <f>B115*Inputs!C74</f>
        <v>0</v>
      </c>
      <c r="D55" s="104">
        <f>C115*Inputs!D74</f>
        <v>0</v>
      </c>
      <c r="E55" s="63">
        <f>SUM(B55:D55)</f>
        <v>0</v>
      </c>
    </row>
    <row r="56" spans="1:5" ht="12.75" hidden="1" customHeight="1" outlineLevel="1" x14ac:dyDescent="0.2">
      <c r="A56" s="89" t="str">
        <f>"         "&amp;Labels!C106</f>
        <v xml:space="preserve">         Subtotal</v>
      </c>
      <c r="B56" s="99">
        <f>B55</f>
        <v>0</v>
      </c>
      <c r="C56" s="99">
        <f>C55</f>
        <v>0</v>
      </c>
      <c r="D56" s="99">
        <f>D55</f>
        <v>0</v>
      </c>
      <c r="E56" s="63">
        <f>E55</f>
        <v>0</v>
      </c>
    </row>
    <row r="57" spans="1:5" ht="12.75" hidden="1" customHeight="1" outlineLevel="1" x14ac:dyDescent="0.2">
      <c r="A57" s="89" t="str">
        <f>"      "&amp;Labels!B108</f>
        <v xml:space="preserve">      Common</v>
      </c>
      <c r="B57" s="99">
        <f>0*Inputs!B74</f>
        <v>0</v>
      </c>
      <c r="C57" s="99">
        <f>B117*Inputs!C74</f>
        <v>1</v>
      </c>
      <c r="D57" s="99">
        <f>C117*Inputs!D74</f>
        <v>1</v>
      </c>
      <c r="E57" s="63">
        <f>SUM(B57:D57)</f>
        <v>2</v>
      </c>
    </row>
    <row r="58" spans="1:5" ht="12.75" hidden="1" customHeight="1" outlineLevel="1" x14ac:dyDescent="0.2">
      <c r="A58" s="89" t="str">
        <f>"      "&amp;Labels!B109</f>
        <v xml:space="preserve">      Warrant</v>
      </c>
      <c r="B58" s="99">
        <f>0*Inputs!B74</f>
        <v>0</v>
      </c>
      <c r="C58" s="99">
        <f>B118*Inputs!C74</f>
        <v>0</v>
      </c>
      <c r="D58" s="99">
        <f>C118*Inputs!D74</f>
        <v>0</v>
      </c>
      <c r="E58" s="63">
        <f>SUM(B58:D58)</f>
        <v>0</v>
      </c>
    </row>
    <row r="59" spans="1:5" ht="12.75" hidden="1" customHeight="1" outlineLevel="1" x14ac:dyDescent="0.2">
      <c r="A59" s="89" t="str">
        <f>"      "&amp;Labels!B110</f>
        <v xml:space="preserve">      Option</v>
      </c>
      <c r="B59" s="99"/>
      <c r="C59" s="99"/>
      <c r="D59" s="99"/>
      <c r="E59" s="63"/>
    </row>
    <row r="60" spans="1:5" ht="12.75" hidden="1" customHeight="1" outlineLevel="1" x14ac:dyDescent="0.2">
      <c r="A60" s="89" t="str">
        <f>"         "&amp;Labels!B111</f>
        <v xml:space="preserve">         Series B</v>
      </c>
      <c r="B60" s="104">
        <f>0*Inputs!B74</f>
        <v>0</v>
      </c>
      <c r="C60" s="104">
        <f>B120*Inputs!C74</f>
        <v>0</v>
      </c>
      <c r="D60" s="104">
        <f>C120*Inputs!D74</f>
        <v>0</v>
      </c>
      <c r="E60" s="63">
        <f>SUM(B60:D60)</f>
        <v>0</v>
      </c>
    </row>
    <row r="61" spans="1:5" ht="12.75" hidden="1" customHeight="1" outlineLevel="1" x14ac:dyDescent="0.2">
      <c r="A61" s="89" t="str">
        <f>"         "&amp;Labels!B112</f>
        <v xml:space="preserve">         Series A</v>
      </c>
      <c r="B61" s="104">
        <f>0*Inputs!B74</f>
        <v>0</v>
      </c>
      <c r="C61" s="104">
        <f>B121*Inputs!C74</f>
        <v>0</v>
      </c>
      <c r="D61" s="104">
        <f>C121*Inputs!D74</f>
        <v>0</v>
      </c>
      <c r="E61" s="63">
        <f>SUM(B61:D61)</f>
        <v>0</v>
      </c>
    </row>
    <row r="62" spans="1:5" ht="12.75" hidden="1" customHeight="1" outlineLevel="1" x14ac:dyDescent="0.2">
      <c r="A62" s="89" t="str">
        <f>"         "&amp;Labels!C110</f>
        <v xml:space="preserve">         Subtotal</v>
      </c>
      <c r="B62" s="99">
        <f>SUM(B60:B61)</f>
        <v>0</v>
      </c>
      <c r="C62" s="99">
        <f>SUM(C60:C61)</f>
        <v>0</v>
      </c>
      <c r="D62" s="99">
        <f>SUM(D60:D61)</f>
        <v>0</v>
      </c>
      <c r="E62" s="63">
        <f>SUM(E60:E61)</f>
        <v>0</v>
      </c>
    </row>
    <row r="63" spans="1:5" ht="12.75" hidden="1" customHeight="1" outlineLevel="1" x14ac:dyDescent="0.2">
      <c r="A63" s="28" t="str">
        <f>"      "&amp;Labels!C102</f>
        <v xml:space="preserve">      Total</v>
      </c>
      <c r="B63" s="97">
        <f>SUM(B53,B56:B58,B62)</f>
        <v>0</v>
      </c>
      <c r="C63" s="97">
        <f>SUM(C53,C56:C58,C62)</f>
        <v>1</v>
      </c>
      <c r="D63" s="97">
        <f>SUM(D53,D56:D58,D62)</f>
        <v>1</v>
      </c>
      <c r="E63" s="63">
        <f>SUM(E53,E56:E58,E62)</f>
        <v>2</v>
      </c>
    </row>
    <row r="64" spans="1:5" ht="12.75" hidden="1" customHeight="1" outlineLevel="1" x14ac:dyDescent="0.2">
      <c r="A64" s="28" t="str">
        <f>"   "&amp;Labels!B92</f>
        <v xml:space="preserve">   New Sales</v>
      </c>
      <c r="B64" s="97"/>
      <c r="C64" s="97"/>
      <c r="D64" s="97"/>
      <c r="E64" s="63"/>
    </row>
    <row r="65" spans="1:5" ht="12.75" hidden="1" customHeight="1" outlineLevel="1" x14ac:dyDescent="0.2">
      <c r="A65" s="89" t="str">
        <f>"      "&amp;Labels!B103</f>
        <v xml:space="preserve">      Conv Note</v>
      </c>
      <c r="B65" s="99"/>
      <c r="C65" s="99"/>
      <c r="D65" s="99"/>
      <c r="E65" s="63"/>
    </row>
    <row r="66" spans="1:5" ht="12.75" hidden="1" customHeight="1" outlineLevel="1" x14ac:dyDescent="0.2">
      <c r="A66" s="89" t="str">
        <f>"         "&amp;Labels!B104</f>
        <v xml:space="preserve">         Series B</v>
      </c>
      <c r="B66" s="104">
        <f t="shared" ref="B66:D67" si="2">0/3/2</f>
        <v>0</v>
      </c>
      <c r="C66" s="104">
        <f t="shared" si="2"/>
        <v>0</v>
      </c>
      <c r="D66" s="104">
        <f t="shared" si="2"/>
        <v>0</v>
      </c>
      <c r="E66" s="63">
        <f>SUM(B66:D66)</f>
        <v>0</v>
      </c>
    </row>
    <row r="67" spans="1:5" ht="12.75" hidden="1" customHeight="1" outlineLevel="1" x14ac:dyDescent="0.2">
      <c r="A67" s="89" t="str">
        <f>"         "&amp;Labels!B105</f>
        <v xml:space="preserve">         Series A</v>
      </c>
      <c r="B67" s="104">
        <f t="shared" si="2"/>
        <v>0</v>
      </c>
      <c r="C67" s="104">
        <f t="shared" si="2"/>
        <v>0</v>
      </c>
      <c r="D67" s="104">
        <f t="shared" si="2"/>
        <v>0</v>
      </c>
      <c r="E67" s="63">
        <f>SUM(B67:D67)</f>
        <v>0</v>
      </c>
    </row>
    <row r="68" spans="1:5" ht="12.75" hidden="1" customHeight="1" outlineLevel="1" x14ac:dyDescent="0.2">
      <c r="A68" s="89" t="str">
        <f>"         "&amp;Labels!C103</f>
        <v xml:space="preserve">         Subtotal</v>
      </c>
      <c r="B68" s="99">
        <f>SUM(B66:B67)</f>
        <v>0</v>
      </c>
      <c r="C68" s="99">
        <f>SUM(C66:C67)</f>
        <v>0</v>
      </c>
      <c r="D68" s="99">
        <f>SUM(D66:D67)</f>
        <v>0</v>
      </c>
      <c r="E68" s="63">
        <f>SUM(E66:E67)</f>
        <v>0</v>
      </c>
    </row>
    <row r="69" spans="1:5" ht="12.75" hidden="1" customHeight="1" outlineLevel="1" x14ac:dyDescent="0.2">
      <c r="A69" s="89" t="str">
        <f>"      "&amp;Labels!B106</f>
        <v xml:space="preserve">      Preferred</v>
      </c>
      <c r="B69" s="99"/>
      <c r="C69" s="99"/>
      <c r="D69" s="99"/>
      <c r="E69" s="63"/>
    </row>
    <row r="70" spans="1:5" ht="12.75" hidden="1" customHeight="1" outlineLevel="1" x14ac:dyDescent="0.2">
      <c r="A70" s="89" t="str">
        <f>"         "&amp;Labels!B107</f>
        <v xml:space="preserve">         Series A</v>
      </c>
      <c r="B70" s="104">
        <f>Investment!B233/'(Other Variables)'!B23/(1-Inputs!B50)</f>
        <v>0</v>
      </c>
      <c r="C70" s="104">
        <f>Investment!C233/'(Other Variables)'!C23/(1-Inputs!C50)</f>
        <v>0</v>
      </c>
      <c r="D70" s="104">
        <f>Investment!D233/'(Other Variables)'!D23/(1-Inputs!D50)</f>
        <v>0</v>
      </c>
      <c r="E70" s="63">
        <f>SUM(B70:D70)</f>
        <v>0</v>
      </c>
    </row>
    <row r="71" spans="1:5" ht="12.75" hidden="1" customHeight="1" outlineLevel="1" x14ac:dyDescent="0.2">
      <c r="A71" s="89" t="str">
        <f>"         "&amp;Labels!C106</f>
        <v xml:space="preserve">         Subtotal</v>
      </c>
      <c r="B71" s="99">
        <f>B70</f>
        <v>0</v>
      </c>
      <c r="C71" s="99">
        <f>C70</f>
        <v>0</v>
      </c>
      <c r="D71" s="99">
        <f>D70</f>
        <v>0</v>
      </c>
      <c r="E71" s="63">
        <f>E70</f>
        <v>0</v>
      </c>
    </row>
    <row r="72" spans="1:5" ht="12.75" hidden="1" customHeight="1" outlineLevel="1" x14ac:dyDescent="0.2">
      <c r="A72" s="89" t="str">
        <f>"      "&amp;Labels!B108</f>
        <v xml:space="preserve">      Common</v>
      </c>
      <c r="B72" s="99">
        <f>IF('(Other Variables)'!B25=0,0,Investment!B235/'(Other Variables)'!B25)</f>
        <v>1</v>
      </c>
      <c r="C72" s="99">
        <f>IF('(Other Variables)'!C25=0,0,Investment!C235/'(Other Variables)'!C25)</f>
        <v>0</v>
      </c>
      <c r="D72" s="99">
        <f>IF('(Other Variables)'!D25=0,0,Investment!D235/'(Other Variables)'!D25)</f>
        <v>0</v>
      </c>
      <c r="E72" s="63">
        <f>SUM(B72:D72)</f>
        <v>1</v>
      </c>
    </row>
    <row r="73" spans="1:5" ht="12.75" hidden="1" customHeight="1" outlineLevel="1" x14ac:dyDescent="0.2">
      <c r="A73" s="89" t="str">
        <f>"      "&amp;Labels!B109</f>
        <v xml:space="preserve">      Warrant</v>
      </c>
      <c r="B73" s="99">
        <f>'(Other Variables)'!B119</f>
        <v>0</v>
      </c>
      <c r="C73" s="99">
        <f>'(Other Variables)'!C119</f>
        <v>0</v>
      </c>
      <c r="D73" s="99">
        <f>'(Other Variables)'!D119</f>
        <v>0</v>
      </c>
      <c r="E73" s="63">
        <f>SUM(B73:D73)</f>
        <v>0</v>
      </c>
    </row>
    <row r="74" spans="1:5" ht="12.75" hidden="1" customHeight="1" outlineLevel="1" x14ac:dyDescent="0.2">
      <c r="A74" s="89" t="str">
        <f>"      "&amp;Labels!B110</f>
        <v xml:space="preserve">      Option</v>
      </c>
      <c r="B74" s="99"/>
      <c r="C74" s="99"/>
      <c r="D74" s="99"/>
      <c r="E74" s="63"/>
    </row>
    <row r="75" spans="1:5" ht="12.75" hidden="1" customHeight="1" outlineLevel="1" x14ac:dyDescent="0.2">
      <c r="A75" s="89" t="str">
        <f>"         "&amp;Labels!B111</f>
        <v xml:space="preserve">         Series B</v>
      </c>
      <c r="B75" s="104">
        <f>'(Other Variables)'!B121</f>
        <v>0</v>
      </c>
      <c r="C75" s="104">
        <f>'(Other Variables)'!C121</f>
        <v>0</v>
      </c>
      <c r="D75" s="104">
        <f>'(Other Variables)'!D121</f>
        <v>0</v>
      </c>
      <c r="E75" s="63">
        <f>SUM(B75:D75)</f>
        <v>0</v>
      </c>
    </row>
    <row r="76" spans="1:5" ht="12.75" hidden="1" customHeight="1" outlineLevel="1" x14ac:dyDescent="0.2">
      <c r="A76" s="89" t="str">
        <f>"         "&amp;Labels!B112</f>
        <v xml:space="preserve">         Series A</v>
      </c>
      <c r="B76" s="104">
        <f>'(Other Variables)'!B122</f>
        <v>0</v>
      </c>
      <c r="C76" s="104">
        <f>'(Other Variables)'!C122</f>
        <v>0</v>
      </c>
      <c r="D76" s="104">
        <f>'(Other Variables)'!D122</f>
        <v>0</v>
      </c>
      <c r="E76" s="63">
        <f>SUM(B76:D76)</f>
        <v>0</v>
      </c>
    </row>
    <row r="77" spans="1:5" ht="12.75" hidden="1" customHeight="1" outlineLevel="1" x14ac:dyDescent="0.2">
      <c r="A77" s="89" t="str">
        <f>"         "&amp;Labels!C110</f>
        <v xml:space="preserve">         Subtotal</v>
      </c>
      <c r="B77" s="99">
        <f>SUM(B75:B76)</f>
        <v>0</v>
      </c>
      <c r="C77" s="99">
        <f>SUM(C75:C76)</f>
        <v>0</v>
      </c>
      <c r="D77" s="99">
        <f>SUM(D75:D76)</f>
        <v>0</v>
      </c>
      <c r="E77" s="63">
        <f>SUM(E75:E76)</f>
        <v>0</v>
      </c>
    </row>
    <row r="78" spans="1:5" ht="12.75" hidden="1" customHeight="1" outlineLevel="1" x14ac:dyDescent="0.2">
      <c r="A78" s="28" t="str">
        <f>"      "&amp;Labels!C102</f>
        <v xml:space="preserve">      Total</v>
      </c>
      <c r="B78" s="97">
        <f>SUM(B68,B71:B73,B77)</f>
        <v>1</v>
      </c>
      <c r="C78" s="97">
        <f>SUM(C68,C71:C73,C77)</f>
        <v>0</v>
      </c>
      <c r="D78" s="97">
        <f>SUM(D68,D71:D73,D77)</f>
        <v>0</v>
      </c>
      <c r="E78" s="63">
        <f>SUM(E68,E71:E73,E77)</f>
        <v>1</v>
      </c>
    </row>
    <row r="79" spans="1:5" ht="12.75" hidden="1" customHeight="1" outlineLevel="1" x14ac:dyDescent="0.2">
      <c r="A79" s="28" t="str">
        <f>"   "&amp;Labels!B93</f>
        <v xml:space="preserve">   Post Sales</v>
      </c>
      <c r="B79" s="97"/>
      <c r="C79" s="97"/>
      <c r="D79" s="97"/>
      <c r="E79" s="63"/>
    </row>
    <row r="80" spans="1:5" ht="12.75" hidden="1" customHeight="1" outlineLevel="1" x14ac:dyDescent="0.2">
      <c r="A80" s="89" t="str">
        <f>"      "&amp;Labels!B103</f>
        <v xml:space="preserve">      Conv Note</v>
      </c>
      <c r="B80" s="99"/>
      <c r="C80" s="99"/>
      <c r="D80" s="99"/>
      <c r="E80" s="63"/>
    </row>
    <row r="81" spans="1:5" ht="12.75" hidden="1" customHeight="1" outlineLevel="1" x14ac:dyDescent="0.2">
      <c r="A81" s="89" t="str">
        <f>"         "&amp;Labels!B104</f>
        <v xml:space="preserve">         Series B</v>
      </c>
      <c r="B81" s="104">
        <f t="shared" ref="B81:D82" si="3">B51+B66</f>
        <v>0</v>
      </c>
      <c r="C81" s="104">
        <f t="shared" si="3"/>
        <v>0</v>
      </c>
      <c r="D81" s="104">
        <f t="shared" si="3"/>
        <v>0</v>
      </c>
      <c r="E81" s="63">
        <f>SUM(B81:D81)</f>
        <v>0</v>
      </c>
    </row>
    <row r="82" spans="1:5" ht="12.75" hidden="1" customHeight="1" outlineLevel="1" x14ac:dyDescent="0.2">
      <c r="A82" s="89" t="str">
        <f>"         "&amp;Labels!B105</f>
        <v xml:space="preserve">         Series A</v>
      </c>
      <c r="B82" s="104">
        <f t="shared" si="3"/>
        <v>0</v>
      </c>
      <c r="C82" s="104">
        <f t="shared" si="3"/>
        <v>0</v>
      </c>
      <c r="D82" s="104">
        <f t="shared" si="3"/>
        <v>0</v>
      </c>
      <c r="E82" s="63">
        <f>SUM(B82:D82)</f>
        <v>0</v>
      </c>
    </row>
    <row r="83" spans="1:5" ht="12.75" hidden="1" customHeight="1" outlineLevel="1" x14ac:dyDescent="0.2">
      <c r="A83" s="89" t="str">
        <f>"         "&amp;Labels!C103</f>
        <v xml:space="preserve">         Subtotal</v>
      </c>
      <c r="B83" s="99">
        <f>SUM(B81:B82)</f>
        <v>0</v>
      </c>
      <c r="C83" s="99">
        <f>SUM(C81:C82)</f>
        <v>0</v>
      </c>
      <c r="D83" s="99">
        <f>SUM(D81:D82)</f>
        <v>0</v>
      </c>
      <c r="E83" s="63">
        <f>SUM(E81:E82)</f>
        <v>0</v>
      </c>
    </row>
    <row r="84" spans="1:5" ht="12.75" hidden="1" customHeight="1" outlineLevel="1" x14ac:dyDescent="0.2">
      <c r="A84" s="89" t="str">
        <f>"      "&amp;Labels!B106</f>
        <v xml:space="preserve">      Preferred</v>
      </c>
      <c r="B84" s="99"/>
      <c r="C84" s="99"/>
      <c r="D84" s="99"/>
      <c r="E84" s="63"/>
    </row>
    <row r="85" spans="1:5" ht="12.75" hidden="1" customHeight="1" outlineLevel="1" x14ac:dyDescent="0.2">
      <c r="A85" s="89" t="str">
        <f>"         "&amp;Labels!B107</f>
        <v xml:space="preserve">         Series A</v>
      </c>
      <c r="B85" s="104">
        <f>B55+B70</f>
        <v>0</v>
      </c>
      <c r="C85" s="104">
        <f>C55+C70</f>
        <v>0</v>
      </c>
      <c r="D85" s="104">
        <f>D55+D70</f>
        <v>0</v>
      </c>
      <c r="E85" s="63">
        <f>SUM(B85:D85)</f>
        <v>0</v>
      </c>
    </row>
    <row r="86" spans="1:5" ht="12.75" hidden="1" customHeight="1" outlineLevel="1" x14ac:dyDescent="0.2">
      <c r="A86" s="89" t="str">
        <f>"         "&amp;Labels!C106</f>
        <v xml:space="preserve">         Subtotal</v>
      </c>
      <c r="B86" s="99">
        <f>B85</f>
        <v>0</v>
      </c>
      <c r="C86" s="99">
        <f>C85</f>
        <v>0</v>
      </c>
      <c r="D86" s="99">
        <f>D85</f>
        <v>0</v>
      </c>
      <c r="E86" s="63">
        <f>E85</f>
        <v>0</v>
      </c>
    </row>
    <row r="87" spans="1:5" ht="12.75" hidden="1" customHeight="1" outlineLevel="1" x14ac:dyDescent="0.2">
      <c r="A87" s="89" t="str">
        <f>"      "&amp;Labels!B108</f>
        <v xml:space="preserve">      Common</v>
      </c>
      <c r="B87" s="99">
        <f t="shared" ref="B87:D88" si="4">B57+B72</f>
        <v>1</v>
      </c>
      <c r="C87" s="99">
        <f t="shared" si="4"/>
        <v>1</v>
      </c>
      <c r="D87" s="99">
        <f t="shared" si="4"/>
        <v>1</v>
      </c>
      <c r="E87" s="63">
        <f>SUM(B87:D87)</f>
        <v>3</v>
      </c>
    </row>
    <row r="88" spans="1:5" ht="12.75" hidden="1" customHeight="1" outlineLevel="1" x14ac:dyDescent="0.2">
      <c r="A88" s="89" t="str">
        <f>"      "&amp;Labels!B109</f>
        <v xml:space="preserve">      Warrant</v>
      </c>
      <c r="B88" s="99">
        <f t="shared" si="4"/>
        <v>0</v>
      </c>
      <c r="C88" s="99">
        <f t="shared" si="4"/>
        <v>0</v>
      </c>
      <c r="D88" s="99">
        <f t="shared" si="4"/>
        <v>0</v>
      </c>
      <c r="E88" s="63">
        <f>SUM(B88:D88)</f>
        <v>0</v>
      </c>
    </row>
    <row r="89" spans="1:5" ht="12.75" hidden="1" customHeight="1" outlineLevel="1" x14ac:dyDescent="0.2">
      <c r="A89" s="89" t="str">
        <f>"      "&amp;Labels!B110</f>
        <v xml:space="preserve">      Option</v>
      </c>
      <c r="B89" s="99"/>
      <c r="C89" s="99"/>
      <c r="D89" s="99"/>
      <c r="E89" s="63"/>
    </row>
    <row r="90" spans="1:5" ht="12.75" hidden="1" customHeight="1" outlineLevel="1" x14ac:dyDescent="0.2">
      <c r="A90" s="89" t="str">
        <f>"         "&amp;Labels!B111</f>
        <v xml:space="preserve">         Series B</v>
      </c>
      <c r="B90" s="104">
        <f t="shared" ref="B90:D91" si="5">B60+B75</f>
        <v>0</v>
      </c>
      <c r="C90" s="104">
        <f t="shared" si="5"/>
        <v>0</v>
      </c>
      <c r="D90" s="104">
        <f t="shared" si="5"/>
        <v>0</v>
      </c>
      <c r="E90" s="63">
        <f>SUM(B90:D90)</f>
        <v>0</v>
      </c>
    </row>
    <row r="91" spans="1:5" ht="12.75" hidden="1" customHeight="1" outlineLevel="1" x14ac:dyDescent="0.2">
      <c r="A91" s="89" t="str">
        <f>"         "&amp;Labels!B112</f>
        <v xml:space="preserve">         Series A</v>
      </c>
      <c r="B91" s="104">
        <f t="shared" si="5"/>
        <v>0</v>
      </c>
      <c r="C91" s="104">
        <f t="shared" si="5"/>
        <v>0</v>
      </c>
      <c r="D91" s="104">
        <f t="shared" si="5"/>
        <v>0</v>
      </c>
      <c r="E91" s="63">
        <f>SUM(B91:D91)</f>
        <v>0</v>
      </c>
    </row>
    <row r="92" spans="1:5" ht="12.75" hidden="1" customHeight="1" outlineLevel="1" x14ac:dyDescent="0.2">
      <c r="A92" s="89" t="str">
        <f>"         "&amp;Labels!C110</f>
        <v xml:space="preserve">         Subtotal</v>
      </c>
      <c r="B92" s="99">
        <f>SUM(B90:B91)</f>
        <v>0</v>
      </c>
      <c r="C92" s="99">
        <f>SUM(C90:C91)</f>
        <v>0</v>
      </c>
      <c r="D92" s="99">
        <f>SUM(D90:D91)</f>
        <v>0</v>
      </c>
      <c r="E92" s="63">
        <f>SUM(E90:E91)</f>
        <v>0</v>
      </c>
    </row>
    <row r="93" spans="1:5" ht="12.75" hidden="1" customHeight="1" outlineLevel="1" x14ac:dyDescent="0.2">
      <c r="A93" s="28" t="str">
        <f>"      "&amp;Labels!C102</f>
        <v xml:space="preserve">      Total</v>
      </c>
      <c r="B93" s="97">
        <f>SUM(B83,B86:B88,B92)</f>
        <v>1</v>
      </c>
      <c r="C93" s="97">
        <f>SUM(C83,C86:C88,C92)</f>
        <v>1</v>
      </c>
      <c r="D93" s="97">
        <f>SUM(D83,D86:D88,D92)</f>
        <v>1</v>
      </c>
      <c r="E93" s="63">
        <f>SUM(E83,E86:E88,E92)</f>
        <v>3</v>
      </c>
    </row>
    <row r="94" spans="1:5" ht="12.75" hidden="1" customHeight="1" outlineLevel="1" x14ac:dyDescent="0.2">
      <c r="A94" s="28" t="str">
        <f>"   "&amp;Labels!B94</f>
        <v xml:space="preserve">   Convert</v>
      </c>
      <c r="B94" s="97"/>
      <c r="C94" s="97"/>
      <c r="D94" s="97"/>
      <c r="E94" s="63"/>
    </row>
    <row r="95" spans="1:5" ht="12.75" hidden="1" customHeight="1" outlineLevel="1" x14ac:dyDescent="0.2">
      <c r="A95" s="89" t="str">
        <f>"      "&amp;Labels!B103</f>
        <v xml:space="preserve">      Conv Note</v>
      </c>
      <c r="B95" s="99"/>
      <c r="C95" s="99"/>
      <c r="D95" s="99"/>
      <c r="E95" s="63"/>
    </row>
    <row r="96" spans="1:5" ht="12.75" hidden="1" customHeight="1" outlineLevel="1" x14ac:dyDescent="0.2">
      <c r="A96" s="89" t="str">
        <f>"         "&amp;Labels!B104</f>
        <v xml:space="preserve">         Series B</v>
      </c>
      <c r="B96" s="104">
        <f>Conversion!B28*Investment!B244/'(Other Variables)'!B181/(1-Inputs!B23)</f>
        <v>0</v>
      </c>
      <c r="C96" s="104">
        <f>Conversion!C28*Investment!C244/'(Other Variables)'!C181/(1-Inputs!B23)</f>
        <v>0</v>
      </c>
      <c r="D96" s="104">
        <f>Conversion!D28*Investment!D244/'(Other Variables)'!D181/(1-Inputs!B23)</f>
        <v>0</v>
      </c>
      <c r="E96" s="63">
        <f>SUM(B96:D96)</f>
        <v>0</v>
      </c>
    </row>
    <row r="97" spans="1:5" ht="12.75" hidden="1" customHeight="1" outlineLevel="1" x14ac:dyDescent="0.2">
      <c r="A97" s="89" t="str">
        <f>"         "&amp;Labels!B105</f>
        <v xml:space="preserve">         Series A</v>
      </c>
      <c r="B97" s="104">
        <f>Conversion!B29*Investment!B245/'(Other Variables)'!B181/(1-Inputs!B24)</f>
        <v>0</v>
      </c>
      <c r="C97" s="104">
        <f>Conversion!C29*Investment!C245/'(Other Variables)'!C181/(1-Inputs!B24)</f>
        <v>0</v>
      </c>
      <c r="D97" s="104">
        <f>Conversion!D29*Investment!D245/'(Other Variables)'!D181/(1-Inputs!B24)</f>
        <v>0</v>
      </c>
      <c r="E97" s="63">
        <f>SUM(B97:D97)</f>
        <v>0</v>
      </c>
    </row>
    <row r="98" spans="1:5" ht="12.75" hidden="1" customHeight="1" outlineLevel="1" x14ac:dyDescent="0.2">
      <c r="A98" s="89" t="str">
        <f>"         "&amp;Labels!C103</f>
        <v xml:space="preserve">         Subtotal</v>
      </c>
      <c r="B98" s="99">
        <f>SUM(B96:B97)</f>
        <v>0</v>
      </c>
      <c r="C98" s="99">
        <f>SUM(C96:C97)</f>
        <v>0</v>
      </c>
      <c r="D98" s="99">
        <f>SUM(D96:D97)</f>
        <v>0</v>
      </c>
      <c r="E98" s="63">
        <f>SUM(E96:E97)</f>
        <v>0</v>
      </c>
    </row>
    <row r="99" spans="1:5" ht="12.75" hidden="1" customHeight="1" outlineLevel="1" x14ac:dyDescent="0.2">
      <c r="A99" s="89" t="str">
        <f>"      "&amp;Labels!B106</f>
        <v xml:space="preserve">      Preferred</v>
      </c>
      <c r="B99" s="99"/>
      <c r="C99" s="99"/>
      <c r="D99" s="99"/>
      <c r="E99" s="63"/>
    </row>
    <row r="100" spans="1:5" ht="12.75" hidden="1" customHeight="1" outlineLevel="1" x14ac:dyDescent="0.2">
      <c r="A100" s="89" t="str">
        <f>"         "&amp;Labels!B107</f>
        <v xml:space="preserve">         Series A</v>
      </c>
      <c r="B100" s="104">
        <f>Conversion!B31*B85</f>
        <v>0</v>
      </c>
      <c r="C100" s="104">
        <f>Conversion!C31*C85</f>
        <v>0</v>
      </c>
      <c r="D100" s="104">
        <f>Conversion!D31*D85</f>
        <v>0</v>
      </c>
      <c r="E100" s="63">
        <f>SUM(B100:D100)</f>
        <v>0</v>
      </c>
    </row>
    <row r="101" spans="1:5" ht="12.75" hidden="1" customHeight="1" outlineLevel="1" x14ac:dyDescent="0.2">
      <c r="A101" s="89" t="str">
        <f>"         "&amp;Labels!C106</f>
        <v xml:space="preserve">         Subtotal</v>
      </c>
      <c r="B101" s="99">
        <f>B100</f>
        <v>0</v>
      </c>
      <c r="C101" s="99">
        <f>C100</f>
        <v>0</v>
      </c>
      <c r="D101" s="99">
        <f>D100</f>
        <v>0</v>
      </c>
      <c r="E101" s="63">
        <f>E100</f>
        <v>0</v>
      </c>
    </row>
    <row r="102" spans="1:5" ht="12.75" hidden="1" customHeight="1" outlineLevel="1" x14ac:dyDescent="0.2">
      <c r="A102" s="89" t="str">
        <f>"      "&amp;Labels!B108</f>
        <v xml:space="preserve">      Common</v>
      </c>
      <c r="B102" s="99">
        <f>Conversion!B32*B87</f>
        <v>0</v>
      </c>
      <c r="C102" s="99">
        <f>Conversion!C32*C87</f>
        <v>0</v>
      </c>
      <c r="D102" s="99">
        <f>Conversion!D32*D87</f>
        <v>0</v>
      </c>
      <c r="E102" s="63">
        <f>SUM(B102:D102)</f>
        <v>0</v>
      </c>
    </row>
    <row r="103" spans="1:5" ht="12.75" hidden="1" customHeight="1" outlineLevel="1" x14ac:dyDescent="0.2">
      <c r="A103" s="89" t="str">
        <f>"      "&amp;Labels!B109</f>
        <v xml:space="preserve">      Warrant</v>
      </c>
      <c r="B103" s="99">
        <f>Conversion!B33*B88</f>
        <v>0</v>
      </c>
      <c r="C103" s="99">
        <f>Conversion!C33*C88</f>
        <v>0</v>
      </c>
      <c r="D103" s="99">
        <f>Conversion!D33*D88</f>
        <v>0</v>
      </c>
      <c r="E103" s="63">
        <f>SUM(B103:D103)</f>
        <v>0</v>
      </c>
    </row>
    <row r="104" spans="1:5" ht="12.75" hidden="1" customHeight="1" outlineLevel="1" x14ac:dyDescent="0.2">
      <c r="A104" s="89" t="str">
        <f>"      "&amp;Labels!B110</f>
        <v xml:space="preserve">      Option</v>
      </c>
      <c r="B104" s="99"/>
      <c r="C104" s="99"/>
      <c r="D104" s="99"/>
      <c r="E104" s="63"/>
    </row>
    <row r="105" spans="1:5" ht="12.75" hidden="1" customHeight="1" outlineLevel="1" x14ac:dyDescent="0.2">
      <c r="A105" s="89" t="str">
        <f>"         "&amp;Labels!B111</f>
        <v xml:space="preserve">         Series B</v>
      </c>
      <c r="B105" s="104">
        <f>Conversion!B35*B90</f>
        <v>0</v>
      </c>
      <c r="C105" s="104">
        <f>Conversion!C35*C90</f>
        <v>0</v>
      </c>
      <c r="D105" s="104">
        <f>Conversion!D35*D90</f>
        <v>0</v>
      </c>
      <c r="E105" s="63">
        <f>SUM(B105:D105)</f>
        <v>0</v>
      </c>
    </row>
    <row r="106" spans="1:5" ht="12.75" hidden="1" customHeight="1" outlineLevel="1" x14ac:dyDescent="0.2">
      <c r="A106" s="89" t="str">
        <f>"         "&amp;Labels!B112</f>
        <v xml:space="preserve">         Series A</v>
      </c>
      <c r="B106" s="104">
        <f>Conversion!B36*B91</f>
        <v>0</v>
      </c>
      <c r="C106" s="104">
        <f>Conversion!C36*C91</f>
        <v>0</v>
      </c>
      <c r="D106" s="104">
        <f>Conversion!D36*D91</f>
        <v>0</v>
      </c>
      <c r="E106" s="63">
        <f>SUM(B106:D106)</f>
        <v>0</v>
      </c>
    </row>
    <row r="107" spans="1:5" ht="12.75" hidden="1" customHeight="1" outlineLevel="1" x14ac:dyDescent="0.2">
      <c r="A107" s="89" t="str">
        <f>"         "&amp;Labels!C110</f>
        <v xml:space="preserve">         Subtotal</v>
      </c>
      <c r="B107" s="99">
        <f>SUM(B105:B106)</f>
        <v>0</v>
      </c>
      <c r="C107" s="99">
        <f>SUM(C105:C106)</f>
        <v>0</v>
      </c>
      <c r="D107" s="99">
        <f>SUM(D105:D106)</f>
        <v>0</v>
      </c>
      <c r="E107" s="63">
        <f>SUM(E105:E106)</f>
        <v>0</v>
      </c>
    </row>
    <row r="108" spans="1:5" ht="12.75" hidden="1" customHeight="1" outlineLevel="1" x14ac:dyDescent="0.2">
      <c r="A108" s="28" t="str">
        <f>"      "&amp;Labels!C102</f>
        <v xml:space="preserve">      Total</v>
      </c>
      <c r="B108" s="97">
        <f>SUM(B98,B101:B103,B107)</f>
        <v>0</v>
      </c>
      <c r="C108" s="97">
        <f>SUM(C98,C101:C103,C107)</f>
        <v>0</v>
      </c>
      <c r="D108" s="97">
        <f>SUM(D98,D101:D103,D107)</f>
        <v>0</v>
      </c>
      <c r="E108" s="63">
        <f>SUM(E98,E101:E103,E107)</f>
        <v>0</v>
      </c>
    </row>
    <row r="109" spans="1:5" ht="12.75" hidden="1" customHeight="1" outlineLevel="1" x14ac:dyDescent="0.2">
      <c r="A109" s="28" t="str">
        <f>"   "&amp;Labels!B95</f>
        <v xml:space="preserve">   End</v>
      </c>
      <c r="B109" s="97"/>
      <c r="C109" s="97"/>
      <c r="D109" s="97"/>
      <c r="E109" s="63"/>
    </row>
    <row r="110" spans="1:5" ht="12.75" hidden="1" customHeight="1" outlineLevel="1" x14ac:dyDescent="0.2">
      <c r="A110" s="89" t="str">
        <f>"      "&amp;Labels!B103</f>
        <v xml:space="preserve">      Conv Note</v>
      </c>
      <c r="B110" s="99"/>
      <c r="C110" s="99"/>
      <c r="D110" s="99"/>
      <c r="E110" s="63"/>
    </row>
    <row r="111" spans="1:5" ht="12.75" hidden="1" customHeight="1" outlineLevel="1" x14ac:dyDescent="0.2">
      <c r="A111" s="89" t="str">
        <f>"         "&amp;Labels!B104</f>
        <v xml:space="preserve">         Series B</v>
      </c>
      <c r="B111" s="104">
        <f t="shared" ref="B111:D112" si="6">B30</f>
        <v>0</v>
      </c>
      <c r="C111" s="104">
        <f t="shared" si="6"/>
        <v>0</v>
      </c>
      <c r="D111" s="104">
        <f t="shared" si="6"/>
        <v>0</v>
      </c>
      <c r="E111" s="63">
        <f>SUM(B111:D111)</f>
        <v>0</v>
      </c>
    </row>
    <row r="112" spans="1:5" ht="12.75" hidden="1" customHeight="1" outlineLevel="1" x14ac:dyDescent="0.2">
      <c r="A112" s="89" t="str">
        <f>"         "&amp;Labels!B105</f>
        <v xml:space="preserve">         Series A</v>
      </c>
      <c r="B112" s="104">
        <f t="shared" si="6"/>
        <v>0</v>
      </c>
      <c r="C112" s="104">
        <f t="shared" si="6"/>
        <v>0</v>
      </c>
      <c r="D112" s="104">
        <f t="shared" si="6"/>
        <v>0</v>
      </c>
      <c r="E112" s="63">
        <f>SUM(B112:D112)</f>
        <v>0</v>
      </c>
    </row>
    <row r="113" spans="1:5" ht="12.75" hidden="1" customHeight="1" outlineLevel="1" x14ac:dyDescent="0.2">
      <c r="A113" s="89" t="str">
        <f>"         "&amp;Labels!C103</f>
        <v xml:space="preserve">         Subtotal</v>
      </c>
      <c r="B113" s="99">
        <f>SUM(B111:B112)</f>
        <v>0</v>
      </c>
      <c r="C113" s="99">
        <f>SUM(C111:C112)</f>
        <v>0</v>
      </c>
      <c r="D113" s="99">
        <f>SUM(D111:D112)</f>
        <v>0</v>
      </c>
      <c r="E113" s="63">
        <f>SUM(E111:E112)</f>
        <v>0</v>
      </c>
    </row>
    <row r="114" spans="1:5" ht="12.75" hidden="1" customHeight="1" outlineLevel="1" x14ac:dyDescent="0.2">
      <c r="A114" s="89" t="str">
        <f>"      "&amp;Labels!B106</f>
        <v xml:space="preserve">      Preferred</v>
      </c>
      <c r="B114" s="99"/>
      <c r="C114" s="99"/>
      <c r="D114" s="99"/>
      <c r="E114" s="63"/>
    </row>
    <row r="115" spans="1:5" ht="12.75" hidden="1" customHeight="1" outlineLevel="1" x14ac:dyDescent="0.2">
      <c r="A115" s="89" t="str">
        <f>"         "&amp;Labels!B107</f>
        <v xml:space="preserve">         Series A</v>
      </c>
      <c r="B115" s="104">
        <f>B34</f>
        <v>0</v>
      </c>
      <c r="C115" s="104">
        <f>C34</f>
        <v>0</v>
      </c>
      <c r="D115" s="104">
        <f>D34</f>
        <v>0</v>
      </c>
      <c r="E115" s="63">
        <f>SUM(B115:D115)</f>
        <v>0</v>
      </c>
    </row>
    <row r="116" spans="1:5" ht="12.75" hidden="1" customHeight="1" outlineLevel="1" x14ac:dyDescent="0.2">
      <c r="A116" s="89" t="str">
        <f>"         "&amp;Labels!C106</f>
        <v xml:space="preserve">         Subtotal</v>
      </c>
      <c r="B116" s="99">
        <f>B34</f>
        <v>0</v>
      </c>
      <c r="C116" s="99">
        <f>C34</f>
        <v>0</v>
      </c>
      <c r="D116" s="99">
        <f>D34</f>
        <v>0</v>
      </c>
      <c r="E116" s="63">
        <f>E34</f>
        <v>0</v>
      </c>
    </row>
    <row r="117" spans="1:5" ht="12.75" hidden="1" customHeight="1" outlineLevel="1" x14ac:dyDescent="0.2">
      <c r="A117" s="89" t="str">
        <f>"      "&amp;Labels!B108</f>
        <v xml:space="preserve">      Common</v>
      </c>
      <c r="B117" s="99">
        <f t="shared" ref="B117:D118" si="7">B36</f>
        <v>1</v>
      </c>
      <c r="C117" s="99">
        <f t="shared" si="7"/>
        <v>1</v>
      </c>
      <c r="D117" s="99">
        <f t="shared" si="7"/>
        <v>1</v>
      </c>
      <c r="E117" s="63">
        <f>SUM(B117:D117)</f>
        <v>3</v>
      </c>
    </row>
    <row r="118" spans="1:5" ht="12.75" hidden="1" customHeight="1" outlineLevel="1" x14ac:dyDescent="0.2">
      <c r="A118" s="89" t="str">
        <f>"      "&amp;Labels!B109</f>
        <v xml:space="preserve">      Warrant</v>
      </c>
      <c r="B118" s="99">
        <f t="shared" si="7"/>
        <v>0</v>
      </c>
      <c r="C118" s="99">
        <f t="shared" si="7"/>
        <v>0</v>
      </c>
      <c r="D118" s="99">
        <f t="shared" si="7"/>
        <v>0</v>
      </c>
      <c r="E118" s="63">
        <f>SUM(B118:D118)</f>
        <v>0</v>
      </c>
    </row>
    <row r="119" spans="1:5" ht="12.75" hidden="1" customHeight="1" outlineLevel="1" x14ac:dyDescent="0.2">
      <c r="A119" s="89" t="str">
        <f>"      "&amp;Labels!B110</f>
        <v xml:space="preserve">      Option</v>
      </c>
      <c r="B119" s="99"/>
      <c r="C119" s="99"/>
      <c r="D119" s="99"/>
      <c r="E119" s="63"/>
    </row>
    <row r="120" spans="1:5" ht="12.75" hidden="1" customHeight="1" outlineLevel="1" x14ac:dyDescent="0.2">
      <c r="A120" s="89" t="str">
        <f>"         "&amp;Labels!B111</f>
        <v xml:space="preserve">         Series B</v>
      </c>
      <c r="B120" s="104">
        <f t="shared" ref="B120:D121" si="8">B39</f>
        <v>0</v>
      </c>
      <c r="C120" s="104">
        <f t="shared" si="8"/>
        <v>0</v>
      </c>
      <c r="D120" s="104">
        <f t="shared" si="8"/>
        <v>0</v>
      </c>
      <c r="E120" s="63">
        <f>SUM(B120:D120)</f>
        <v>0</v>
      </c>
    </row>
    <row r="121" spans="1:5" ht="12.75" hidden="1" customHeight="1" outlineLevel="1" x14ac:dyDescent="0.2">
      <c r="A121" s="89" t="str">
        <f>"         "&amp;Labels!B112</f>
        <v xml:space="preserve">         Series A</v>
      </c>
      <c r="B121" s="104">
        <f t="shared" si="8"/>
        <v>0</v>
      </c>
      <c r="C121" s="104">
        <f t="shared" si="8"/>
        <v>0</v>
      </c>
      <c r="D121" s="104">
        <f t="shared" si="8"/>
        <v>0</v>
      </c>
      <c r="E121" s="63">
        <f>SUM(B121:D121)</f>
        <v>0</v>
      </c>
    </row>
    <row r="122" spans="1:5" ht="12.75" hidden="1" customHeight="1" outlineLevel="1" x14ac:dyDescent="0.2">
      <c r="A122" s="89" t="str">
        <f>"         "&amp;Labels!C110</f>
        <v xml:space="preserve">         Subtotal</v>
      </c>
      <c r="B122" s="99">
        <f>SUM(B120:B121)</f>
        <v>0</v>
      </c>
      <c r="C122" s="99">
        <f>SUM(C120:C121)</f>
        <v>0</v>
      </c>
      <c r="D122" s="99">
        <f>SUM(D120:D121)</f>
        <v>0</v>
      </c>
      <c r="E122" s="63">
        <f>SUM(E120:E121)</f>
        <v>0</v>
      </c>
    </row>
    <row r="123" spans="1:5" ht="12.75" hidden="1" customHeight="1" outlineLevel="1" x14ac:dyDescent="0.2">
      <c r="A123" s="35" t="str">
        <f>"      "&amp;Labels!C102</f>
        <v xml:space="preserve">      Total</v>
      </c>
      <c r="B123" s="105">
        <f>SUM(B113,B116:B118,B122)</f>
        <v>1</v>
      </c>
      <c r="C123" s="105">
        <f>SUM(C113,C116:C118,C122)</f>
        <v>1</v>
      </c>
      <c r="D123" s="105">
        <f>SUM(D113,D116:D118,D122)</f>
        <v>1</v>
      </c>
      <c r="E123" s="65">
        <f>SUM(E113,E116:E118,E122)</f>
        <v>3</v>
      </c>
    </row>
    <row r="124" spans="1:5" ht="12.75" hidden="1" customHeight="1" outlineLevel="1" x14ac:dyDescent="0.2"/>
    <row r="125" spans="1:5" ht="12.75" hidden="1" customHeight="1" outlineLevel="1" collapsed="1" x14ac:dyDescent="0.2"/>
    <row r="126" spans="1:5" ht="12.75" customHeight="1" collapsed="1" x14ac:dyDescent="0.2"/>
  </sheetData>
  <mergeCells count="8">
    <mergeCell ref="A25:D25"/>
    <mergeCell ref="A45:C45"/>
    <mergeCell ref="A1:D1"/>
    <mergeCell ref="A2:D2"/>
    <mergeCell ref="A3:D3"/>
    <mergeCell ref="A4:D4"/>
    <mergeCell ref="A5:D5"/>
    <mergeCell ref="A9:C9"/>
  </mergeCells>
  <pageMargins left="0.25" right="0.25" top="0.5" bottom="0.5" header="0.5" footer="0.5"/>
  <pageSetup paperSize="9" fitToHeight="32767" orientation="landscape"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G117"/>
  <sheetViews>
    <sheetView zoomScaleNormal="100" workbookViewId="0"/>
  </sheetViews>
  <sheetFormatPr defaultRowHeight="12.75" customHeight="1" outlineLevelRow="2" x14ac:dyDescent="0.2"/>
  <cols>
    <col min="1" max="1" width="27" customWidth="1"/>
    <col min="2" max="4" width="9.5703125" customWidth="1"/>
    <col min="5" max="5" width="9.42578125" customWidth="1"/>
    <col min="6" max="7" width="10" customWidth="1"/>
  </cols>
  <sheetData>
    <row r="1" spans="1:5" ht="12.75" customHeight="1" x14ac:dyDescent="0.2">
      <c r="A1" s="261" t="str">
        <f>"Capitalization Table"</f>
        <v>Capitalization Table</v>
      </c>
      <c r="B1" s="261"/>
      <c r="C1" s="261"/>
      <c r="D1" s="261"/>
    </row>
    <row r="2" spans="1:5" ht="12.75" customHeight="1" x14ac:dyDescent="0.2">
      <c r="A2" s="261" t="str">
        <f>Inputs!B8</f>
        <v>ABC Corp.</v>
      </c>
      <c r="B2" s="261"/>
      <c r="C2" s="261"/>
      <c r="D2" s="261"/>
    </row>
    <row r="3" spans="1:5" ht="12.75" customHeight="1" x14ac:dyDescent="0.2">
      <c r="A3" s="261" t="str">
        <f>IF("Conversion"="(Default Input)","Ignore this sheet in normal use.","Investment Scenario "&amp;1&amp;", Valuation Scenario "&amp;1)</f>
        <v>Investment Scenario 1, Valuation Scenario 1</v>
      </c>
      <c r="B3" s="261"/>
      <c r="C3" s="261"/>
      <c r="D3" s="261"/>
    </row>
    <row r="4" spans="1:5" ht="12.75" customHeight="1" x14ac:dyDescent="0.2">
      <c r="A4" s="261" t="str">
        <f>"Conversion to Common Shares"</f>
        <v>Conversion to Common Shares</v>
      </c>
      <c r="B4" s="261"/>
      <c r="C4" s="261"/>
      <c r="D4" s="261"/>
    </row>
    <row r="5" spans="1:5" ht="12.75" customHeight="1" x14ac:dyDescent="0.2">
      <c r="A5" s="261" t="str">
        <f>""</f>
        <v/>
      </c>
      <c r="B5" s="261"/>
      <c r="C5" s="261"/>
      <c r="D5" s="261"/>
    </row>
    <row r="6" spans="1:5" ht="12.75" customHeight="1" x14ac:dyDescent="0.2">
      <c r="B6" s="6" t="str">
        <f>Labels!B98</f>
        <v>Seed</v>
      </c>
      <c r="C6" s="7" t="str">
        <f>Labels!B99</f>
        <v>Round A</v>
      </c>
      <c r="D6" s="8" t="str">
        <f>Labels!B100</f>
        <v>Exit</v>
      </c>
    </row>
    <row r="7" spans="1:5" ht="12.75" customHeight="1" x14ac:dyDescent="0.2">
      <c r="A7" s="4" t="str">
        <f>Labels!B20</f>
        <v>Event Date</v>
      </c>
      <c r="B7" s="94">
        <f>Investment!B209</f>
        <v>40391</v>
      </c>
      <c r="C7" s="94">
        <f>Investment!C209</f>
        <v>40725</v>
      </c>
      <c r="D7" s="95">
        <f>Investment!D209</f>
        <v>41061</v>
      </c>
    </row>
    <row r="9" spans="1:5" ht="12.75" customHeight="1" x14ac:dyDescent="0.2">
      <c r="A9" s="262" t="str">
        <f>"Units Converted to Common Stock"</f>
        <v>Units Converted to Common Stock</v>
      </c>
      <c r="B9" s="262"/>
      <c r="C9" s="262"/>
      <c r="D9" s="262"/>
      <c r="E9" s="262"/>
    </row>
    <row r="10" spans="1:5" ht="12.75" customHeight="1" x14ac:dyDescent="0.2">
      <c r="A10" s="11" t="str">
        <f>Labels!B78</f>
        <v>Net Units</v>
      </c>
      <c r="B10" s="60"/>
      <c r="C10" s="60"/>
      <c r="D10" s="60"/>
      <c r="E10" s="61"/>
    </row>
    <row r="11" spans="1:5" ht="12.75" customHeight="1" x14ac:dyDescent="0.2">
      <c r="A11" s="28" t="str">
        <f>"   "&amp;Labels!B103</f>
        <v xml:space="preserve">   Conv Note</v>
      </c>
      <c r="B11" s="97"/>
      <c r="C11" s="97"/>
      <c r="D11" s="97"/>
      <c r="E11" s="63"/>
    </row>
    <row r="12" spans="1:5" ht="12.75" customHeight="1" x14ac:dyDescent="0.2">
      <c r="A12" s="89" t="str">
        <f>"      "&amp;Labels!B104</f>
        <v xml:space="preserve">      Series B</v>
      </c>
      <c r="B12" s="99">
        <f>Shares!B96</f>
        <v>0</v>
      </c>
      <c r="C12" s="99">
        <f>Shares!C96</f>
        <v>0</v>
      </c>
      <c r="D12" s="99">
        <f>Shares!D96</f>
        <v>0</v>
      </c>
      <c r="E12" s="63">
        <f>SUM(B12:D12)</f>
        <v>0</v>
      </c>
    </row>
    <row r="13" spans="1:5" ht="12.75" customHeight="1" x14ac:dyDescent="0.2">
      <c r="A13" s="89" t="str">
        <f>"      "&amp;Labels!B105</f>
        <v xml:space="preserve">      Series A</v>
      </c>
      <c r="B13" s="99">
        <f>Shares!B97</f>
        <v>0</v>
      </c>
      <c r="C13" s="99">
        <f>Shares!C97</f>
        <v>0</v>
      </c>
      <c r="D13" s="99">
        <f>Shares!D97</f>
        <v>0</v>
      </c>
      <c r="E13" s="63">
        <f>SUM(B13:D13)</f>
        <v>0</v>
      </c>
    </row>
    <row r="14" spans="1:5" ht="12.75" customHeight="1" x14ac:dyDescent="0.2">
      <c r="A14" s="28" t="str">
        <f>"      "&amp;Labels!C103</f>
        <v xml:space="preserve">      Subtotal</v>
      </c>
      <c r="B14" s="97">
        <f>SUM(B12:B13)</f>
        <v>0</v>
      </c>
      <c r="C14" s="97">
        <f>SUM(C12:C13)</f>
        <v>0</v>
      </c>
      <c r="D14" s="97">
        <f>SUM(D12:D13)</f>
        <v>0</v>
      </c>
      <c r="E14" s="63">
        <f>SUM(E12:E13)</f>
        <v>0</v>
      </c>
    </row>
    <row r="15" spans="1:5" ht="12.75" customHeight="1" x14ac:dyDescent="0.2">
      <c r="A15" s="28" t="str">
        <f>"   "&amp;Labels!B106</f>
        <v xml:space="preserve">   Preferred</v>
      </c>
      <c r="B15" s="97"/>
      <c r="C15" s="97"/>
      <c r="D15" s="97"/>
      <c r="E15" s="63"/>
    </row>
    <row r="16" spans="1:5" ht="12.75" customHeight="1" x14ac:dyDescent="0.2">
      <c r="A16" s="89" t="str">
        <f>"      "&amp;Labels!B107</f>
        <v xml:space="preserve">      Series A</v>
      </c>
      <c r="B16" s="99">
        <f>Shares!B100</f>
        <v>0</v>
      </c>
      <c r="C16" s="99">
        <f>Shares!C100</f>
        <v>0</v>
      </c>
      <c r="D16" s="99">
        <f>Shares!D100</f>
        <v>0</v>
      </c>
      <c r="E16" s="63">
        <f>SUM(B16:D16)</f>
        <v>0</v>
      </c>
    </row>
    <row r="17" spans="1:5" ht="12.75" customHeight="1" x14ac:dyDescent="0.2">
      <c r="A17" s="28" t="str">
        <f>"      "&amp;Labels!C106</f>
        <v xml:space="preserve">      Subtotal</v>
      </c>
      <c r="B17" s="97">
        <f>Shares!B100</f>
        <v>0</v>
      </c>
      <c r="C17" s="97">
        <f>Shares!C100</f>
        <v>0</v>
      </c>
      <c r="D17" s="97">
        <f>Shares!D100</f>
        <v>0</v>
      </c>
      <c r="E17" s="63">
        <f>Shares!E100</f>
        <v>0</v>
      </c>
    </row>
    <row r="18" spans="1:5" ht="12.75" customHeight="1" x14ac:dyDescent="0.2">
      <c r="A18" s="28" t="str">
        <f>"   "&amp;Labels!B108</f>
        <v xml:space="preserve">   Common</v>
      </c>
      <c r="B18" s="97">
        <f>Shares!B102</f>
        <v>0</v>
      </c>
      <c r="C18" s="97">
        <f>Shares!C102</f>
        <v>0</v>
      </c>
      <c r="D18" s="97">
        <f>Shares!D102</f>
        <v>0</v>
      </c>
      <c r="E18" s="63">
        <f>SUM(B18:D18)</f>
        <v>0</v>
      </c>
    </row>
    <row r="19" spans="1:5" ht="12.75" customHeight="1" x14ac:dyDescent="0.2">
      <c r="A19" s="28" t="str">
        <f>"   "&amp;Labels!B109</f>
        <v xml:space="preserve">   Warrant</v>
      </c>
      <c r="B19" s="97">
        <f>Shares!B103</f>
        <v>0</v>
      </c>
      <c r="C19" s="97">
        <f>Shares!C103</f>
        <v>0</v>
      </c>
      <c r="D19" s="97">
        <f>Shares!D103</f>
        <v>0</v>
      </c>
      <c r="E19" s="63">
        <f>SUM(B19:D19)</f>
        <v>0</v>
      </c>
    </row>
    <row r="20" spans="1:5" ht="12.75" customHeight="1" x14ac:dyDescent="0.2">
      <c r="A20" s="28" t="str">
        <f>"   "&amp;Labels!B110</f>
        <v xml:space="preserve">   Option</v>
      </c>
      <c r="B20" s="97"/>
      <c r="C20" s="97"/>
      <c r="D20" s="97"/>
      <c r="E20" s="63"/>
    </row>
    <row r="21" spans="1:5" ht="12.75" customHeight="1" x14ac:dyDescent="0.2">
      <c r="A21" s="89" t="str">
        <f>"      "&amp;Labels!B111</f>
        <v xml:space="preserve">      Series B</v>
      </c>
      <c r="B21" s="99">
        <f>Shares!B105</f>
        <v>0</v>
      </c>
      <c r="C21" s="99">
        <f>Shares!C105</f>
        <v>0</v>
      </c>
      <c r="D21" s="99">
        <f>Shares!D105</f>
        <v>0</v>
      </c>
      <c r="E21" s="63">
        <f>SUM(B21:D21)</f>
        <v>0</v>
      </c>
    </row>
    <row r="22" spans="1:5" ht="12.75" customHeight="1" x14ac:dyDescent="0.2">
      <c r="A22" s="89" t="str">
        <f>"      "&amp;Labels!B112</f>
        <v xml:space="preserve">      Series A</v>
      </c>
      <c r="B22" s="99">
        <f>Shares!B106</f>
        <v>0</v>
      </c>
      <c r="C22" s="99">
        <f>Shares!C106</f>
        <v>0</v>
      </c>
      <c r="D22" s="99">
        <f>Shares!D106</f>
        <v>0</v>
      </c>
      <c r="E22" s="63">
        <f>SUM(B22:D22)</f>
        <v>0</v>
      </c>
    </row>
    <row r="23" spans="1:5" ht="12.75" customHeight="1" x14ac:dyDescent="0.2">
      <c r="A23" s="28" t="str">
        <f>"      "&amp;Labels!C110</f>
        <v xml:space="preserve">      Subtotal</v>
      </c>
      <c r="B23" s="97">
        <f>SUM(B21:B22)</f>
        <v>0</v>
      </c>
      <c r="C23" s="97">
        <f>SUM(C21:C22)</f>
        <v>0</v>
      </c>
      <c r="D23" s="97">
        <f>SUM(D21:D22)</f>
        <v>0</v>
      </c>
      <c r="E23" s="63">
        <f>SUM(E21:E22)</f>
        <v>0</v>
      </c>
    </row>
    <row r="24" spans="1:5" ht="12.75" customHeight="1" x14ac:dyDescent="0.2">
      <c r="A24" s="15" t="str">
        <f>"   "&amp;Labels!C102</f>
        <v xml:space="preserve">   Total</v>
      </c>
      <c r="B24" s="64">
        <f>SUM(B14,B17:B19,B23)</f>
        <v>0</v>
      </c>
      <c r="C24" s="64">
        <f>SUM(C14,C17:C19,C23)</f>
        <v>0</v>
      </c>
      <c r="D24" s="64">
        <f>SUM(D14,D17:D19,D23)</f>
        <v>0</v>
      </c>
      <c r="E24" s="65">
        <f>SUM(E14,E17:E19,E23)</f>
        <v>0</v>
      </c>
    </row>
    <row r="26" spans="1:5" ht="12.75" customHeight="1" x14ac:dyDescent="0.2">
      <c r="A26" s="11" t="str">
        <f>Labels!B12</f>
        <v>% Converting</v>
      </c>
      <c r="B26" s="68"/>
      <c r="C26" s="68"/>
      <c r="D26" s="106"/>
    </row>
    <row r="27" spans="1:5" ht="12.75" customHeight="1" x14ac:dyDescent="0.2">
      <c r="A27" s="28" t="str">
        <f>"   "&amp;Labels!B103</f>
        <v xml:space="preserve">   Conv Note</v>
      </c>
      <c r="B27" s="71"/>
      <c r="C27" s="71"/>
      <c r="D27" s="107"/>
    </row>
    <row r="28" spans="1:5" ht="12.75" customHeight="1" x14ac:dyDescent="0.2">
      <c r="A28" s="89" t="str">
        <f>"      "&amp;Labels!B104</f>
        <v xml:space="preserve">      Series B</v>
      </c>
      <c r="B28" s="108">
        <f t="shared" ref="B28:D29" si="0">B44</f>
        <v>0</v>
      </c>
      <c r="C28" s="108">
        <f t="shared" si="0"/>
        <v>0</v>
      </c>
      <c r="D28" s="109">
        <f t="shared" si="0"/>
        <v>0</v>
      </c>
    </row>
    <row r="29" spans="1:5" ht="12.75" customHeight="1" x14ac:dyDescent="0.2">
      <c r="A29" s="89" t="str">
        <f>"      "&amp;Labels!B105</f>
        <v xml:space="preserve">      Series A</v>
      </c>
      <c r="B29" s="108">
        <f t="shared" si="0"/>
        <v>0</v>
      </c>
      <c r="C29" s="108">
        <f t="shared" si="0"/>
        <v>0</v>
      </c>
      <c r="D29" s="109">
        <f t="shared" si="0"/>
        <v>0</v>
      </c>
    </row>
    <row r="30" spans="1:5" ht="12.75" customHeight="1" x14ac:dyDescent="0.2">
      <c r="A30" s="28" t="str">
        <f>"   "&amp;Labels!B106</f>
        <v xml:space="preserve">   Preferred</v>
      </c>
      <c r="B30" s="71"/>
      <c r="C30" s="71"/>
      <c r="D30" s="107"/>
    </row>
    <row r="31" spans="1:5" ht="12.75" customHeight="1" x14ac:dyDescent="0.2">
      <c r="A31" s="89" t="str">
        <f>"      "&amp;Labels!B107</f>
        <v xml:space="preserve">      Series A</v>
      </c>
      <c r="B31" s="108">
        <f t="shared" ref="B31:D33" si="1">B47</f>
        <v>0</v>
      </c>
      <c r="C31" s="108">
        <f t="shared" si="1"/>
        <v>0</v>
      </c>
      <c r="D31" s="109">
        <f t="shared" si="1"/>
        <v>0</v>
      </c>
    </row>
    <row r="32" spans="1:5" ht="12.75" customHeight="1" x14ac:dyDescent="0.2">
      <c r="A32" s="28" t="str">
        <f>"   "&amp;Labels!B108</f>
        <v xml:space="preserve">   Common</v>
      </c>
      <c r="B32" s="110">
        <f t="shared" si="1"/>
        <v>0</v>
      </c>
      <c r="C32" s="110">
        <f t="shared" si="1"/>
        <v>0</v>
      </c>
      <c r="D32" s="111">
        <f t="shared" si="1"/>
        <v>0</v>
      </c>
    </row>
    <row r="33" spans="1:7" ht="12.75" customHeight="1" x14ac:dyDescent="0.2">
      <c r="A33" s="28" t="str">
        <f>"   "&amp;Labels!B109</f>
        <v xml:space="preserve">   Warrant</v>
      </c>
      <c r="B33" s="110">
        <f t="shared" si="1"/>
        <v>0</v>
      </c>
      <c r="C33" s="110">
        <f t="shared" si="1"/>
        <v>0</v>
      </c>
      <c r="D33" s="111">
        <f t="shared" si="1"/>
        <v>0</v>
      </c>
    </row>
    <row r="34" spans="1:7" ht="12.75" customHeight="1" x14ac:dyDescent="0.2">
      <c r="A34" s="28" t="str">
        <f>"   "&amp;Labels!B110</f>
        <v xml:space="preserve">   Option</v>
      </c>
      <c r="B34" s="71"/>
      <c r="C34" s="71"/>
      <c r="D34" s="107"/>
    </row>
    <row r="35" spans="1:7" ht="12.75" customHeight="1" x14ac:dyDescent="0.2">
      <c r="A35" s="89" t="str">
        <f>"      "&amp;Labels!B111</f>
        <v xml:space="preserve">      Series B</v>
      </c>
      <c r="B35" s="108">
        <f t="shared" ref="B35:D36" si="2">B51</f>
        <v>0</v>
      </c>
      <c r="C35" s="108">
        <f t="shared" si="2"/>
        <v>0</v>
      </c>
      <c r="D35" s="109">
        <f t="shared" si="2"/>
        <v>0</v>
      </c>
    </row>
    <row r="36" spans="1:7" ht="12.75" customHeight="1" x14ac:dyDescent="0.2">
      <c r="A36" s="101" t="str">
        <f>"      "&amp;Labels!B112</f>
        <v xml:space="preserve">      Series A</v>
      </c>
      <c r="B36" s="112">
        <f t="shared" si="2"/>
        <v>0</v>
      </c>
      <c r="C36" s="112">
        <f t="shared" si="2"/>
        <v>0</v>
      </c>
      <c r="D36" s="113">
        <f t="shared" si="2"/>
        <v>0</v>
      </c>
    </row>
    <row r="37" spans="1:7" ht="12.75" customHeight="1" x14ac:dyDescent="0.2">
      <c r="A37" s="260" t="str">
        <f>"Note: You can override the model's default conversion decisions by entering numerical values."</f>
        <v>Note: You can override the model's default conversion decisions by entering numerical values.</v>
      </c>
      <c r="B37" s="260"/>
      <c r="C37" s="260"/>
      <c r="D37" s="260"/>
      <c r="E37" s="260"/>
      <c r="F37" s="260"/>
      <c r="G37" s="260"/>
    </row>
    <row r="39" spans="1:7" ht="12.75" customHeight="1" x14ac:dyDescent="0.2">
      <c r="A39" s="262" t="str">
        <f>"Default Conversion Decisions"</f>
        <v>Default Conversion Decisions</v>
      </c>
      <c r="B39" s="262"/>
    </row>
    <row r="40" spans="1:7" ht="12.75" hidden="1" customHeight="1" outlineLevel="1" x14ac:dyDescent="0.2">
      <c r="A40" s="1" t="str">
        <f>" "</f>
        <v xml:space="preserve"> </v>
      </c>
    </row>
    <row r="41" spans="1:7" ht="12.75" hidden="1" customHeight="1" outlineLevel="1" x14ac:dyDescent="0.2">
      <c r="B41" s="6" t="str">
        <f>Labels!B98</f>
        <v>Seed</v>
      </c>
      <c r="C41" s="7" t="str">
        <f>Labels!B99</f>
        <v>Round A</v>
      </c>
      <c r="D41" s="8" t="str">
        <f>Labels!B100</f>
        <v>Exit</v>
      </c>
    </row>
    <row r="42" spans="1:7" ht="12.75" hidden="1" customHeight="1" outlineLevel="1" x14ac:dyDescent="0.2">
      <c r="A42" s="11" t="str">
        <f>Labels!B6</f>
        <v>Default Conversion Decisions</v>
      </c>
      <c r="B42" s="114"/>
      <c r="C42" s="114"/>
      <c r="D42" s="115"/>
    </row>
    <row r="43" spans="1:7" ht="12.75" hidden="1" customHeight="1" outlineLevel="1" x14ac:dyDescent="0.2">
      <c r="A43" s="28" t="str">
        <f>"   "&amp;Labels!B103</f>
        <v xml:space="preserve">   Conv Note</v>
      </c>
      <c r="B43" s="116"/>
      <c r="C43" s="116"/>
      <c r="D43" s="117"/>
    </row>
    <row r="44" spans="1:7" ht="12.75" hidden="1" customHeight="1" outlineLevel="1" x14ac:dyDescent="0.2">
      <c r="A44" s="89" t="str">
        <f>"      "&amp;Labels!B104</f>
        <v xml:space="preserve">      Series B</v>
      </c>
      <c r="B44" s="118">
        <f>ABS(PRODUCT(B61:B65))</f>
        <v>0</v>
      </c>
      <c r="C44" s="118">
        <f>ABS(PRODUCT(C61:C65))</f>
        <v>0</v>
      </c>
      <c r="D44" s="119">
        <f>ABS(PRODUCT(D61:D65))</f>
        <v>0</v>
      </c>
    </row>
    <row r="45" spans="1:7" ht="12.75" hidden="1" customHeight="1" outlineLevel="1" x14ac:dyDescent="0.2">
      <c r="A45" s="89" t="str">
        <f>"      "&amp;Labels!B105</f>
        <v xml:space="preserve">      Series A</v>
      </c>
      <c r="B45" s="118">
        <f>ABS(PRODUCT(B67:B71))</f>
        <v>0</v>
      </c>
      <c r="C45" s="118">
        <f>ABS(PRODUCT(C67:C71))</f>
        <v>0</v>
      </c>
      <c r="D45" s="119">
        <f>ABS(PRODUCT(D67:D71))</f>
        <v>0</v>
      </c>
    </row>
    <row r="46" spans="1:7" ht="12.75" hidden="1" customHeight="1" outlineLevel="1" x14ac:dyDescent="0.2">
      <c r="A46" s="28" t="str">
        <f>"   "&amp;Labels!B106</f>
        <v xml:space="preserve">   Preferred</v>
      </c>
      <c r="B46" s="116"/>
      <c r="C46" s="116"/>
      <c r="D46" s="117"/>
    </row>
    <row r="47" spans="1:7" ht="12.75" hidden="1" customHeight="1" outlineLevel="1" x14ac:dyDescent="0.2">
      <c r="A47" s="89" t="str">
        <f>"      "&amp;Labels!B107</f>
        <v xml:space="preserve">      Series A</v>
      </c>
      <c r="B47" s="118">
        <f>ABS(PRODUCT(B74:B78))</f>
        <v>0</v>
      </c>
      <c r="C47" s="118">
        <f>ABS(PRODUCT(C74:C78))</f>
        <v>0</v>
      </c>
      <c r="D47" s="119">
        <f>ABS(PRODUCT(D74:D78))</f>
        <v>0</v>
      </c>
    </row>
    <row r="48" spans="1:7" ht="12.75" hidden="1" customHeight="1" outlineLevel="1" x14ac:dyDescent="0.2">
      <c r="A48" s="28" t="str">
        <f>"   "&amp;Labels!B108</f>
        <v xml:space="preserve">   Common</v>
      </c>
      <c r="B48" s="116">
        <f>0</f>
        <v>0</v>
      </c>
      <c r="C48" s="116">
        <f>0</f>
        <v>0</v>
      </c>
      <c r="D48" s="117">
        <f>0</f>
        <v>0</v>
      </c>
    </row>
    <row r="49" spans="1:4" ht="12.75" hidden="1" customHeight="1" outlineLevel="1" x14ac:dyDescent="0.2">
      <c r="A49" s="28" t="str">
        <f>"   "&amp;Labels!B109</f>
        <v xml:space="preserve">   Warrant</v>
      </c>
      <c r="B49" s="116">
        <f>ABS(PRODUCT(B86:B90))</f>
        <v>0</v>
      </c>
      <c r="C49" s="116">
        <f>ABS(PRODUCT(C86:C90))</f>
        <v>0</v>
      </c>
      <c r="D49" s="117">
        <f>ABS(PRODUCT(D86:D90))</f>
        <v>0</v>
      </c>
    </row>
    <row r="50" spans="1:4" ht="12.75" hidden="1" customHeight="1" outlineLevel="1" x14ac:dyDescent="0.2">
      <c r="A50" s="28" t="str">
        <f>"   "&amp;Labels!B110</f>
        <v xml:space="preserve">   Option</v>
      </c>
      <c r="B50" s="116"/>
      <c r="C50" s="116"/>
      <c r="D50" s="117"/>
    </row>
    <row r="51" spans="1:4" ht="12.75" hidden="1" customHeight="1" outlineLevel="1" x14ac:dyDescent="0.2">
      <c r="A51" s="89" t="str">
        <f>"      "&amp;Labels!B111</f>
        <v xml:space="preserve">      Series B</v>
      </c>
      <c r="B51" s="118">
        <f>ABS(PRODUCT(B93:B97))</f>
        <v>0</v>
      </c>
      <c r="C51" s="118">
        <f>ABS(PRODUCT(C93:C97))</f>
        <v>0</v>
      </c>
      <c r="D51" s="119">
        <f>ABS(PRODUCT(D93:D97))</f>
        <v>0</v>
      </c>
    </row>
    <row r="52" spans="1:4" ht="12.75" hidden="1" customHeight="1" outlineLevel="1" x14ac:dyDescent="0.2">
      <c r="A52" s="101" t="str">
        <f>"      "&amp;Labels!B112</f>
        <v xml:space="preserve">      Series A</v>
      </c>
      <c r="B52" s="120">
        <f>ABS(PRODUCT(B99:B103))</f>
        <v>0</v>
      </c>
      <c r="C52" s="120">
        <f>ABS(PRODUCT(C99:C103))</f>
        <v>0</v>
      </c>
      <c r="D52" s="121">
        <f>ABS(PRODUCT(D99:D103))</f>
        <v>0</v>
      </c>
    </row>
    <row r="53" spans="1:4" ht="12.75" hidden="1" customHeight="1" outlineLevel="1" x14ac:dyDescent="0.2">
      <c r="A53" s="260" t="str">
        <f>"Key: 1 means convert, 0 means don't convert"</f>
        <v>Key: 1 means convert, 0 means don't convert</v>
      </c>
      <c r="B53" s="260"/>
      <c r="C53" s="260"/>
    </row>
    <row r="54" spans="1:4" ht="12.75" hidden="1" customHeight="1" outlineLevel="1" x14ac:dyDescent="0.2"/>
    <row r="55" spans="1:4" ht="12.75" hidden="1" customHeight="1" outlineLevel="1" x14ac:dyDescent="0.2">
      <c r="A55" s="3" t="str">
        <f>"Decision Details"</f>
        <v>Decision Details</v>
      </c>
    </row>
    <row r="56" spans="1:4" ht="12.75" hidden="1" customHeight="1" outlineLevel="2" x14ac:dyDescent="0.2">
      <c r="A56" s="3" t="str">
        <f>" "</f>
        <v xml:space="preserve"> </v>
      </c>
    </row>
    <row r="57" spans="1:4" ht="12.75" hidden="1" customHeight="1" outlineLevel="2" x14ac:dyDescent="0.2">
      <c r="B57" s="6" t="str">
        <f>Labels!B98</f>
        <v>Seed</v>
      </c>
      <c r="C57" s="7" t="str">
        <f>Labels!B99</f>
        <v>Round A</v>
      </c>
      <c r="D57" s="8" t="str">
        <f>Labels!B100</f>
        <v>Exit</v>
      </c>
    </row>
    <row r="58" spans="1:4" ht="12.75" hidden="1" customHeight="1" outlineLevel="2" x14ac:dyDescent="0.2">
      <c r="A58" s="11" t="str">
        <f>Labels!B7</f>
        <v>Conversion Decisions Detail</v>
      </c>
      <c r="B58" s="114"/>
      <c r="C58" s="114"/>
      <c r="D58" s="115"/>
    </row>
    <row r="59" spans="1:4" ht="12.75" hidden="1" customHeight="1" outlineLevel="2" x14ac:dyDescent="0.2">
      <c r="A59" s="28" t="str">
        <f>"   "&amp;Labels!B103</f>
        <v xml:space="preserve">   Conv Note</v>
      </c>
      <c r="B59" s="116"/>
      <c r="C59" s="116"/>
      <c r="D59" s="117"/>
    </row>
    <row r="60" spans="1:4" ht="12.75" hidden="1" customHeight="1" outlineLevel="2" x14ac:dyDescent="0.2">
      <c r="A60" s="89" t="str">
        <f>"      "&amp;Labels!B104</f>
        <v xml:space="preserve">      Series B</v>
      </c>
      <c r="B60" s="118"/>
      <c r="C60" s="118"/>
      <c r="D60" s="119"/>
    </row>
    <row r="61" spans="1:4" ht="12.75" hidden="1" customHeight="1" outlineLevel="2" x14ac:dyDescent="0.2">
      <c r="A61" s="89" t="str">
        <f>"         "&amp;Labels!B84</f>
        <v xml:space="preserve">         Trigger Date</v>
      </c>
      <c r="B61" s="122">
        <f>IF(B7&gt;=Inputs!B28,1,0)</f>
        <v>0</v>
      </c>
      <c r="C61" s="122">
        <f>IF(C7&gt;=Inputs!B28,1,0)</f>
        <v>1</v>
      </c>
      <c r="D61" s="123">
        <f>IF(D7&gt;=Inputs!B28,1,0)</f>
        <v>1</v>
      </c>
    </row>
    <row r="62" spans="1:4" ht="12.75" hidden="1" customHeight="1" outlineLevel="2" x14ac:dyDescent="0.2">
      <c r="A62" s="89" t="str">
        <f>"         "&amp;Labels!B85</f>
        <v xml:space="preserve">         Trigger Invest</v>
      </c>
      <c r="B62" s="122">
        <f>IF(Investment!B89+Investment!B88+Investment!B85&gt;=Inputs!C28,1,0)</f>
        <v>0</v>
      </c>
      <c r="C62" s="122">
        <f>IF(Investment!C89+Investment!C88+Investment!C85&gt;=Inputs!C28,1,0)</f>
        <v>0</v>
      </c>
      <c r="D62" s="123">
        <f>IF(Investment!D89+Investment!D88+Investment!D85&gt;=Inputs!C28,1,0)</f>
        <v>0</v>
      </c>
    </row>
    <row r="63" spans="1:4" ht="12.75" hidden="1" customHeight="1" outlineLevel="2" x14ac:dyDescent="0.2">
      <c r="A63" s="89" t="str">
        <f>"         "&amp;Labels!B86</f>
        <v xml:space="preserve">         Trigger Value %</v>
      </c>
      <c r="B63" s="122">
        <f>IF(Inputs!D28*'(Other Variables)'!B192&gt;Investment!B85,1,0)</f>
        <v>1</v>
      </c>
      <c r="C63" s="122">
        <f>IF(Inputs!D28*'(Other Variables)'!C192&gt;Investment!C85,1,0)</f>
        <v>1</v>
      </c>
      <c r="D63" s="123">
        <f>IF(Inputs!D28*'(Other Variables)'!D192&gt;Investment!D85,1,0)</f>
        <v>1</v>
      </c>
    </row>
    <row r="64" spans="1:4" ht="12.75" hidden="1" customHeight="1" outlineLevel="2" x14ac:dyDescent="0.2">
      <c r="A64" s="89" t="str">
        <f>"         "&amp;Labels!B87</f>
        <v xml:space="preserve">         Liquidation</v>
      </c>
      <c r="B64" s="122">
        <f>IF((0+Investment!B290+'(Other Variables)'!B230)/(1-Inputs!B23)&gt;(1+Inputs!E28)*(0+'(Other Variables)'!B230*Inputs!C23),1,0)</f>
        <v>0</v>
      </c>
      <c r="C64" s="122">
        <f>IF((Investment!B274+Investment!C290+'(Other Variables)'!C230)/(1-Inputs!B23)&gt;(1+Inputs!E28)*(Payout!B75+'(Other Variables)'!C230*Inputs!C23),1,0)</f>
        <v>0</v>
      </c>
      <c r="D64" s="123">
        <f>IF((Investment!C274+Investment!D290+'(Other Variables)'!D230)/(1-Inputs!B23)&gt;(1+Inputs!E28)*(Payout!C75+'(Other Variables)'!D230*Inputs!C23),1,0)</f>
        <v>0</v>
      </c>
    </row>
    <row r="65" spans="1:4" ht="12.75" hidden="1" customHeight="1" outlineLevel="2" x14ac:dyDescent="0.2">
      <c r="A65" s="89" t="str">
        <f>"         "&amp;Labels!B88</f>
        <v xml:space="preserve">         Trigger Price</v>
      </c>
      <c r="B65" s="122">
        <f>-1</f>
        <v>-1</v>
      </c>
      <c r="C65" s="122">
        <f>-1</f>
        <v>-1</v>
      </c>
      <c r="D65" s="123">
        <f>-1</f>
        <v>-1</v>
      </c>
    </row>
    <row r="66" spans="1:4" ht="12.75" hidden="1" customHeight="1" outlineLevel="2" x14ac:dyDescent="0.2">
      <c r="A66" s="89" t="str">
        <f>"      "&amp;Labels!B105</f>
        <v xml:space="preserve">      Series A</v>
      </c>
      <c r="B66" s="118"/>
      <c r="C66" s="118"/>
      <c r="D66" s="119"/>
    </row>
    <row r="67" spans="1:4" ht="12.75" hidden="1" customHeight="1" outlineLevel="2" x14ac:dyDescent="0.2">
      <c r="A67" s="89" t="str">
        <f>"         "&amp;Labels!B84</f>
        <v xml:space="preserve">         Trigger Date</v>
      </c>
      <c r="B67" s="122">
        <f>IF(B7&gt;=Inputs!B29,1,0)</f>
        <v>0</v>
      </c>
      <c r="C67" s="122">
        <f>IF(C7&gt;=Inputs!B29,1,0)</f>
        <v>1</v>
      </c>
      <c r="D67" s="123">
        <f>IF(D7&gt;=Inputs!B29,1,0)</f>
        <v>1</v>
      </c>
    </row>
    <row r="68" spans="1:4" ht="12.75" hidden="1" customHeight="1" outlineLevel="2" x14ac:dyDescent="0.2">
      <c r="A68" s="89" t="str">
        <f>"         "&amp;Labels!B85</f>
        <v xml:space="preserve">         Trigger Invest</v>
      </c>
      <c r="B68" s="122">
        <f>IF(Investment!B89+Investment!B88+Investment!B85&gt;=Inputs!C29,1,0)</f>
        <v>0</v>
      </c>
      <c r="C68" s="122">
        <f>IF(Investment!C89+Investment!C88+Investment!C85&gt;=Inputs!C29,1,0)</f>
        <v>0</v>
      </c>
      <c r="D68" s="123">
        <f>IF(Investment!D89+Investment!D88+Investment!D85&gt;=Inputs!C29,1,0)</f>
        <v>0</v>
      </c>
    </row>
    <row r="69" spans="1:4" ht="12.75" hidden="1" customHeight="1" outlineLevel="2" x14ac:dyDescent="0.2">
      <c r="A69" s="89" t="str">
        <f>"         "&amp;Labels!B86</f>
        <v xml:space="preserve">         Trigger Value %</v>
      </c>
      <c r="B69" s="122">
        <f>IF(Inputs!D29*'(Other Variables)'!B192&gt;Investment!B85,1,0)</f>
        <v>1</v>
      </c>
      <c r="C69" s="122">
        <f>IF(Inputs!D29*'(Other Variables)'!C192&gt;Investment!C85,1,0)</f>
        <v>1</v>
      </c>
      <c r="D69" s="123">
        <f>IF(Inputs!D29*'(Other Variables)'!D192&gt;Investment!D85,1,0)</f>
        <v>1</v>
      </c>
    </row>
    <row r="70" spans="1:4" ht="12.75" hidden="1" customHeight="1" outlineLevel="2" x14ac:dyDescent="0.2">
      <c r="A70" s="89" t="str">
        <f>"         "&amp;Labels!B87</f>
        <v xml:space="preserve">         Liquidation</v>
      </c>
      <c r="B70" s="122">
        <f>IF((0+Investment!B291+'(Other Variables)'!B231)/(1-Inputs!B24)&gt;(1+Inputs!E29)*(0+'(Other Variables)'!B231*Inputs!C24),1,0)</f>
        <v>0</v>
      </c>
      <c r="C70" s="122">
        <f>IF((Investment!B275+Investment!C291+'(Other Variables)'!C231)/(1-Inputs!B24)&gt;(1+Inputs!E29)*(Payout!B76+'(Other Variables)'!C231*Inputs!C24),1,0)</f>
        <v>0</v>
      </c>
      <c r="D70" s="123">
        <f>IF((Investment!C275+Investment!D291+'(Other Variables)'!D231)/(1-Inputs!B24)&gt;(1+Inputs!E29)*(Payout!C76+'(Other Variables)'!D231*Inputs!C24),1,0)</f>
        <v>0</v>
      </c>
    </row>
    <row r="71" spans="1:4" ht="12.75" hidden="1" customHeight="1" outlineLevel="2" x14ac:dyDescent="0.2">
      <c r="A71" s="89" t="str">
        <f>"         "&amp;Labels!B88</f>
        <v xml:space="preserve">         Trigger Price</v>
      </c>
      <c r="B71" s="122">
        <f>-1</f>
        <v>-1</v>
      </c>
      <c r="C71" s="122">
        <f>-1</f>
        <v>-1</v>
      </c>
      <c r="D71" s="123">
        <f>-1</f>
        <v>-1</v>
      </c>
    </row>
    <row r="72" spans="1:4" ht="12.75" hidden="1" customHeight="1" outlineLevel="2" x14ac:dyDescent="0.2">
      <c r="A72" s="28" t="str">
        <f>"   "&amp;Labels!B106</f>
        <v xml:space="preserve">   Preferred</v>
      </c>
      <c r="B72" s="116"/>
      <c r="C72" s="116"/>
      <c r="D72" s="117"/>
    </row>
    <row r="73" spans="1:4" ht="12.75" hidden="1" customHeight="1" outlineLevel="2" x14ac:dyDescent="0.2">
      <c r="A73" s="89" t="str">
        <f>"      "&amp;Labels!B107</f>
        <v xml:space="preserve">      Series A</v>
      </c>
      <c r="B73" s="118"/>
      <c r="C73" s="118"/>
      <c r="D73" s="119"/>
    </row>
    <row r="74" spans="1:4" ht="12.75" hidden="1" customHeight="1" outlineLevel="2" x14ac:dyDescent="0.2">
      <c r="A74" s="89" t="str">
        <f>"         "&amp;Labels!B84</f>
        <v xml:space="preserve">         Trigger Date</v>
      </c>
      <c r="B74" s="122">
        <f>IF(B7&gt;=Inputs!B57,1,0)</f>
        <v>0</v>
      </c>
      <c r="C74" s="122">
        <f>IF(C7&gt;=Inputs!B57,1,0)</f>
        <v>1</v>
      </c>
      <c r="D74" s="123">
        <f>IF(D7&gt;=Inputs!B57,1,0)</f>
        <v>1</v>
      </c>
    </row>
    <row r="75" spans="1:4" ht="12.75" hidden="1" customHeight="1" outlineLevel="2" x14ac:dyDescent="0.2">
      <c r="A75" s="89" t="str">
        <f>"         "&amp;Labels!B85</f>
        <v xml:space="preserve">         Trigger Invest</v>
      </c>
      <c r="B75" s="122">
        <f>IF(Investment!B89+Investment!B88+Investment!B85&gt;=Inputs!C57,1,0)</f>
        <v>0</v>
      </c>
      <c r="C75" s="122">
        <f>IF(Investment!C89+Investment!C88+Investment!C85&gt;=Inputs!C57,1,0)</f>
        <v>0</v>
      </c>
      <c r="D75" s="123">
        <f>IF(Investment!D89+Investment!D88+Investment!D85&gt;=Inputs!C57,1,0)</f>
        <v>0</v>
      </c>
    </row>
    <row r="76" spans="1:4" ht="12.75" hidden="1" customHeight="1" outlineLevel="2" x14ac:dyDescent="0.2">
      <c r="A76" s="89" t="str">
        <f>"         "&amp;Labels!B86</f>
        <v xml:space="preserve">         Trigger Value %</v>
      </c>
      <c r="B76" s="122">
        <f>IF(Inputs!D57*'(Other Variables)'!B192&gt;Investment!B85,1,0)</f>
        <v>1</v>
      </c>
      <c r="C76" s="122">
        <f>IF(Inputs!D57*'(Other Variables)'!C192&gt;Investment!C85,1,0)</f>
        <v>1</v>
      </c>
      <c r="D76" s="123">
        <f>IF(Inputs!D57*'(Other Variables)'!D192&gt;Investment!D85,1,0)</f>
        <v>1</v>
      </c>
    </row>
    <row r="77" spans="1:4" ht="12.75" hidden="1" customHeight="1" outlineLevel="2" x14ac:dyDescent="0.2">
      <c r="A77" s="89" t="str">
        <f>"         "&amp;Labels!B87</f>
        <v xml:space="preserve">         Liquidation</v>
      </c>
      <c r="B77" s="122">
        <f>IF((0+Investment!B294+'(Other Variables)'!B234)/(1+Inputs!B50)&gt;(1+Inputs!E57)*0+'(Other Variables)'!B234*Inputs!B53,1,0)</f>
        <v>0</v>
      </c>
      <c r="C77" s="122">
        <f>IF((Investment!B278+Investment!C294+'(Other Variables)'!C234)/(1+Inputs!C50)&gt;(1+Inputs!E57)*Payout!B81+'(Other Variables)'!C234*Inputs!B53,1,0)</f>
        <v>0</v>
      </c>
      <c r="D77" s="123">
        <f>IF((Investment!C278+Investment!D294+'(Other Variables)'!D234)/(1+Inputs!D50)&gt;(1+Inputs!E57)*Payout!C81+'(Other Variables)'!D234*Inputs!B53,1,0)</f>
        <v>0</v>
      </c>
    </row>
    <row r="78" spans="1:4" ht="12.75" hidden="1" customHeight="1" outlineLevel="2" x14ac:dyDescent="0.2">
      <c r="A78" s="89" t="str">
        <f>"         "&amp;Labels!B88</f>
        <v xml:space="preserve">         Trigger Price</v>
      </c>
      <c r="B78" s="122">
        <f>-1</f>
        <v>-1</v>
      </c>
      <c r="C78" s="122">
        <f>-1</f>
        <v>-1</v>
      </c>
      <c r="D78" s="123">
        <f>-1</f>
        <v>-1</v>
      </c>
    </row>
    <row r="79" spans="1:4" ht="12.75" hidden="1" customHeight="1" outlineLevel="2" x14ac:dyDescent="0.2">
      <c r="A79" s="89" t="str">
        <f>"   "&amp;Labels!B108</f>
        <v xml:space="preserve">   Common</v>
      </c>
      <c r="B79" s="118"/>
      <c r="C79" s="118"/>
      <c r="D79" s="119"/>
    </row>
    <row r="80" spans="1:4" ht="12.75" hidden="1" customHeight="1" outlineLevel="2" x14ac:dyDescent="0.2">
      <c r="A80" s="89" t="str">
        <f>"         "&amp;Labels!B84</f>
        <v xml:space="preserve">         Trigger Date</v>
      </c>
      <c r="B80" s="122">
        <f t="shared" ref="B80:D84" si="3">-1</f>
        <v>-1</v>
      </c>
      <c r="C80" s="122">
        <f t="shared" si="3"/>
        <v>-1</v>
      </c>
      <c r="D80" s="123">
        <f t="shared" si="3"/>
        <v>-1</v>
      </c>
    </row>
    <row r="81" spans="1:4" ht="12.75" hidden="1" customHeight="1" outlineLevel="2" x14ac:dyDescent="0.2">
      <c r="A81" s="89" t="str">
        <f>"         "&amp;Labels!B85</f>
        <v xml:space="preserve">         Trigger Invest</v>
      </c>
      <c r="B81" s="122">
        <f t="shared" si="3"/>
        <v>-1</v>
      </c>
      <c r="C81" s="122">
        <f t="shared" si="3"/>
        <v>-1</v>
      </c>
      <c r="D81" s="123">
        <f t="shared" si="3"/>
        <v>-1</v>
      </c>
    </row>
    <row r="82" spans="1:4" ht="12.75" hidden="1" customHeight="1" outlineLevel="2" x14ac:dyDescent="0.2">
      <c r="A82" s="89" t="str">
        <f>"         "&amp;Labels!B86</f>
        <v xml:space="preserve">         Trigger Value %</v>
      </c>
      <c r="B82" s="122">
        <f t="shared" si="3"/>
        <v>-1</v>
      </c>
      <c r="C82" s="122">
        <f t="shared" si="3"/>
        <v>-1</v>
      </c>
      <c r="D82" s="123">
        <f t="shared" si="3"/>
        <v>-1</v>
      </c>
    </row>
    <row r="83" spans="1:4" ht="12.75" hidden="1" customHeight="1" outlineLevel="2" x14ac:dyDescent="0.2">
      <c r="A83" s="89" t="str">
        <f>"         "&amp;Labels!B87</f>
        <v xml:space="preserve">         Liquidation</v>
      </c>
      <c r="B83" s="122">
        <f t="shared" si="3"/>
        <v>-1</v>
      </c>
      <c r="C83" s="122">
        <f t="shared" si="3"/>
        <v>-1</v>
      </c>
      <c r="D83" s="123">
        <f t="shared" si="3"/>
        <v>-1</v>
      </c>
    </row>
    <row r="84" spans="1:4" ht="12.75" hidden="1" customHeight="1" outlineLevel="2" x14ac:dyDescent="0.2">
      <c r="A84" s="89" t="str">
        <f>"         "&amp;Labels!B88</f>
        <v xml:space="preserve">         Trigger Price</v>
      </c>
      <c r="B84" s="122">
        <f t="shared" si="3"/>
        <v>-1</v>
      </c>
      <c r="C84" s="122">
        <f t="shared" si="3"/>
        <v>-1</v>
      </c>
      <c r="D84" s="123">
        <f t="shared" si="3"/>
        <v>-1</v>
      </c>
    </row>
    <row r="85" spans="1:4" ht="12.75" hidden="1" customHeight="1" outlineLevel="2" x14ac:dyDescent="0.2">
      <c r="A85" s="89" t="str">
        <f>"   "&amp;Labels!B109</f>
        <v xml:space="preserve">   Warrant</v>
      </c>
      <c r="B85" s="118"/>
      <c r="C85" s="118"/>
      <c r="D85" s="119"/>
    </row>
    <row r="86" spans="1:4" ht="12.75" hidden="1" customHeight="1" outlineLevel="2" x14ac:dyDescent="0.2">
      <c r="A86" s="89" t="str">
        <f>"         "&amp;Labels!B84</f>
        <v xml:space="preserve">         Trigger Date</v>
      </c>
      <c r="B86" s="122">
        <f>IF(B7&gt;=Boneyard!D14,1,0)</f>
        <v>0</v>
      </c>
      <c r="C86" s="122">
        <f>IF(C7&gt;=Boneyard!D14,1,0)</f>
        <v>1</v>
      </c>
      <c r="D86" s="123">
        <f>IF(D7&gt;=Boneyard!D14,1,0)</f>
        <v>1</v>
      </c>
    </row>
    <row r="87" spans="1:4" ht="12.75" hidden="1" customHeight="1" outlineLevel="2" x14ac:dyDescent="0.2">
      <c r="A87" s="89" t="str">
        <f>"         "&amp;Labels!B85</f>
        <v xml:space="preserve">         Trigger Invest</v>
      </c>
      <c r="B87" s="122">
        <f>IF(Investment!B89+Investment!B88+Investment!B85&gt;=Boneyard!F14,1,0)</f>
        <v>0</v>
      </c>
      <c r="C87" s="122">
        <f>IF(Investment!C89+Investment!C88+Investment!C85&gt;=Boneyard!F14,1,0)</f>
        <v>0</v>
      </c>
      <c r="D87" s="123">
        <f>IF(Investment!D89+Investment!D88+Investment!D85&gt;=Boneyard!F14,1,0)</f>
        <v>0</v>
      </c>
    </row>
    <row r="88" spans="1:4" ht="12.75" hidden="1" customHeight="1" outlineLevel="2" x14ac:dyDescent="0.2">
      <c r="A88" s="89" t="str">
        <f>"         "&amp;Labels!B86</f>
        <v xml:space="preserve">         Trigger Value %</v>
      </c>
      <c r="B88" s="122">
        <f t="shared" ref="B88:D89" si="4">-1</f>
        <v>-1</v>
      </c>
      <c r="C88" s="122">
        <f t="shared" si="4"/>
        <v>-1</v>
      </c>
      <c r="D88" s="123">
        <f t="shared" si="4"/>
        <v>-1</v>
      </c>
    </row>
    <row r="89" spans="1:4" ht="12.75" hidden="1" customHeight="1" outlineLevel="2" x14ac:dyDescent="0.2">
      <c r="A89" s="89" t="str">
        <f>"         "&amp;Labels!B87</f>
        <v xml:space="preserve">         Liquidation</v>
      </c>
      <c r="B89" s="122">
        <f t="shared" si="4"/>
        <v>-1</v>
      </c>
      <c r="C89" s="122">
        <f t="shared" si="4"/>
        <v>-1</v>
      </c>
      <c r="D89" s="123">
        <f t="shared" si="4"/>
        <v>-1</v>
      </c>
    </row>
    <row r="90" spans="1:4" ht="12.75" hidden="1" customHeight="1" outlineLevel="2" x14ac:dyDescent="0.2">
      <c r="A90" s="89" t="str">
        <f>"         "&amp;Labels!B88</f>
        <v xml:space="preserve">         Trigger Price</v>
      </c>
      <c r="B90" s="122">
        <f>IF('(Other Variables)'!B12&lt;'(Other Variables)'!B181,1,0)</f>
        <v>1</v>
      </c>
      <c r="C90" s="122">
        <f>IF('(Other Variables)'!B12&lt;'(Other Variables)'!C181,1,0)</f>
        <v>1</v>
      </c>
      <c r="D90" s="123">
        <f>IF('(Other Variables)'!B12&lt;'(Other Variables)'!D181,1,0)</f>
        <v>1</v>
      </c>
    </row>
    <row r="91" spans="1:4" ht="12.75" hidden="1" customHeight="1" outlineLevel="2" x14ac:dyDescent="0.2">
      <c r="A91" s="28" t="str">
        <f>"   "&amp;Labels!B110</f>
        <v xml:space="preserve">   Option</v>
      </c>
      <c r="B91" s="116"/>
      <c r="C91" s="116"/>
      <c r="D91" s="117"/>
    </row>
    <row r="92" spans="1:4" ht="12.75" hidden="1" customHeight="1" outlineLevel="2" x14ac:dyDescent="0.2">
      <c r="A92" s="89" t="str">
        <f>"      "&amp;Labels!B111</f>
        <v xml:space="preserve">      Series B</v>
      </c>
      <c r="B92" s="118"/>
      <c r="C92" s="118"/>
      <c r="D92" s="119"/>
    </row>
    <row r="93" spans="1:4" ht="12.75" hidden="1" customHeight="1" outlineLevel="2" x14ac:dyDescent="0.2">
      <c r="A93" s="89" t="str">
        <f>"         "&amp;Labels!B84</f>
        <v xml:space="preserve">         Trigger Date</v>
      </c>
      <c r="B93" s="122">
        <f>IF(B7&gt;=Inputs!C101,1,0)</f>
        <v>0</v>
      </c>
      <c r="C93" s="122">
        <f>IF(C7&gt;=Inputs!C101,1,0)</f>
        <v>1</v>
      </c>
      <c r="D93" s="123">
        <f>IF(D7&gt;=Inputs!C101,1,0)</f>
        <v>1</v>
      </c>
    </row>
    <row r="94" spans="1:4" ht="12.75" hidden="1" customHeight="1" outlineLevel="2" x14ac:dyDescent="0.2">
      <c r="A94" s="89" t="str">
        <f>"         "&amp;Labels!B85</f>
        <v xml:space="preserve">         Trigger Invest</v>
      </c>
      <c r="B94" s="122">
        <f>IF(Investment!B89+Investment!B88+Investment!B85&gt;=Inputs!D101,1,0)</f>
        <v>0</v>
      </c>
      <c r="C94" s="122">
        <f>IF(Investment!C89+Investment!C88+Investment!C85&gt;=Inputs!D101,1,0)</f>
        <v>0</v>
      </c>
      <c r="D94" s="123">
        <f>IF(Investment!D89+Investment!D88+Investment!D85&gt;=Inputs!D101,1,0)</f>
        <v>0</v>
      </c>
    </row>
    <row r="95" spans="1:4" ht="12.75" hidden="1" customHeight="1" outlineLevel="2" x14ac:dyDescent="0.2">
      <c r="A95" s="89" t="str">
        <f>"         "&amp;Labels!B86</f>
        <v xml:space="preserve">         Trigger Value %</v>
      </c>
      <c r="B95" s="122">
        <f t="shared" ref="B95:D96" si="5">-1</f>
        <v>-1</v>
      </c>
      <c r="C95" s="122">
        <f t="shared" si="5"/>
        <v>-1</v>
      </c>
      <c r="D95" s="123">
        <f t="shared" si="5"/>
        <v>-1</v>
      </c>
    </row>
    <row r="96" spans="1:4" ht="12.75" hidden="1" customHeight="1" outlineLevel="2" x14ac:dyDescent="0.2">
      <c r="A96" s="89" t="str">
        <f>"         "&amp;Labels!B87</f>
        <v xml:space="preserve">         Liquidation</v>
      </c>
      <c r="B96" s="122">
        <f t="shared" si="5"/>
        <v>-1</v>
      </c>
      <c r="C96" s="122">
        <f t="shared" si="5"/>
        <v>-1</v>
      </c>
      <c r="D96" s="123">
        <f t="shared" si="5"/>
        <v>-1</v>
      </c>
    </row>
    <row r="97" spans="1:6" ht="12.75" hidden="1" customHeight="1" outlineLevel="2" x14ac:dyDescent="0.2">
      <c r="A97" s="89" t="str">
        <f>"         "&amp;Labels!B88</f>
        <v xml:space="preserve">         Trigger Price</v>
      </c>
      <c r="B97" s="122">
        <f>IF(Inputs!B101&lt;'(Other Variables)'!B181,1,0)</f>
        <v>1</v>
      </c>
      <c r="C97" s="122">
        <f>IF(Inputs!B101&lt;'(Other Variables)'!C181,1,0)</f>
        <v>1</v>
      </c>
      <c r="D97" s="123">
        <f>IF(Inputs!B101&lt;'(Other Variables)'!D181,1,0)</f>
        <v>1</v>
      </c>
    </row>
    <row r="98" spans="1:6" ht="12.75" hidden="1" customHeight="1" outlineLevel="2" x14ac:dyDescent="0.2">
      <c r="A98" s="89" t="str">
        <f>"      "&amp;Labels!B112</f>
        <v xml:space="preserve">      Series A</v>
      </c>
      <c r="B98" s="118"/>
      <c r="C98" s="118"/>
      <c r="D98" s="119"/>
    </row>
    <row r="99" spans="1:6" ht="12.75" hidden="1" customHeight="1" outlineLevel="2" x14ac:dyDescent="0.2">
      <c r="A99" s="89" t="str">
        <f>"         "&amp;Labels!B84</f>
        <v xml:space="preserve">         Trigger Date</v>
      </c>
      <c r="B99" s="122">
        <f>IF(B7&gt;=Inputs!C102,1,0)</f>
        <v>0</v>
      </c>
      <c r="C99" s="122">
        <f>IF(C7&gt;=Inputs!C102,1,0)</f>
        <v>1</v>
      </c>
      <c r="D99" s="123">
        <f>IF(D7&gt;=Inputs!C102,1,0)</f>
        <v>1</v>
      </c>
    </row>
    <row r="100" spans="1:6" ht="12.75" hidden="1" customHeight="1" outlineLevel="2" x14ac:dyDescent="0.2">
      <c r="A100" s="89" t="str">
        <f>"         "&amp;Labels!B85</f>
        <v xml:space="preserve">         Trigger Invest</v>
      </c>
      <c r="B100" s="122">
        <f>IF(Investment!B89+Investment!B88+Investment!B85&gt;=Inputs!D102,1,0)</f>
        <v>0</v>
      </c>
      <c r="C100" s="122">
        <f>IF(Investment!C89+Investment!C88+Investment!C85&gt;=Inputs!D102,1,0)</f>
        <v>0</v>
      </c>
      <c r="D100" s="123">
        <f>IF(Investment!D89+Investment!D88+Investment!D85&gt;=Inputs!D102,1,0)</f>
        <v>0</v>
      </c>
    </row>
    <row r="101" spans="1:6" ht="12.75" hidden="1" customHeight="1" outlineLevel="2" x14ac:dyDescent="0.2">
      <c r="A101" s="89" t="str">
        <f>"         "&amp;Labels!B86</f>
        <v xml:space="preserve">         Trigger Value %</v>
      </c>
      <c r="B101" s="122">
        <f t="shared" ref="B101:D102" si="6">-1</f>
        <v>-1</v>
      </c>
      <c r="C101" s="122">
        <f t="shared" si="6"/>
        <v>-1</v>
      </c>
      <c r="D101" s="123">
        <f t="shared" si="6"/>
        <v>-1</v>
      </c>
    </row>
    <row r="102" spans="1:6" ht="12.75" hidden="1" customHeight="1" outlineLevel="2" x14ac:dyDescent="0.2">
      <c r="A102" s="89" t="str">
        <f>"         "&amp;Labels!B87</f>
        <v xml:space="preserve">         Liquidation</v>
      </c>
      <c r="B102" s="122">
        <f t="shared" si="6"/>
        <v>-1</v>
      </c>
      <c r="C102" s="122">
        <f t="shared" si="6"/>
        <v>-1</v>
      </c>
      <c r="D102" s="123">
        <f t="shared" si="6"/>
        <v>-1</v>
      </c>
    </row>
    <row r="103" spans="1:6" ht="12.75" hidden="1" customHeight="1" outlineLevel="2" x14ac:dyDescent="0.2">
      <c r="A103" s="101" t="str">
        <f>"         "&amp;Labels!B88</f>
        <v xml:space="preserve">         Trigger Price</v>
      </c>
      <c r="B103" s="124">
        <f>IF(Inputs!B102&lt;'(Other Variables)'!B181,1,0)</f>
        <v>1</v>
      </c>
      <c r="C103" s="124">
        <f>IF(Inputs!B102&lt;'(Other Variables)'!C181,1,0)</f>
        <v>1</v>
      </c>
      <c r="D103" s="125">
        <f>IF(Inputs!B102&lt;'(Other Variables)'!D181,1,0)</f>
        <v>1</v>
      </c>
    </row>
    <row r="104" spans="1:6" ht="12.75" hidden="1" customHeight="1" outlineLevel="2" x14ac:dyDescent="0.2">
      <c r="A104" s="260" t="str">
        <f>"The default conversion decision for each security is positive (negative)"</f>
        <v>The default conversion decision for each security is positive (negative)</v>
      </c>
      <c r="B104" s="260"/>
      <c r="C104" s="260"/>
      <c r="D104" s="260"/>
      <c r="E104" s="260"/>
      <c r="F104" s="260"/>
    </row>
    <row r="105" spans="1:6" ht="12.75" hidden="1" customHeight="1" outlineLevel="2" x14ac:dyDescent="0.2">
      <c r="A105" s="260" t="str">
        <f>"if all these built-in conditions are satisfied (not satisfied)."</f>
        <v>if all these built-in conditions are satisfied (not satisfied).</v>
      </c>
      <c r="B105" s="260"/>
      <c r="C105" s="260"/>
      <c r="D105" s="260"/>
      <c r="E105" s="260"/>
      <c r="F105" s="260"/>
    </row>
    <row r="106" spans="1:6" ht="12.75" hidden="1" customHeight="1" outlineLevel="2" x14ac:dyDescent="0.2">
      <c r="A106" s="260" t="str">
        <f>"1) The date of the current round &gt;= the trigger date"</f>
        <v>1) The date of the current round &gt;= the trigger date</v>
      </c>
      <c r="B106" s="260"/>
      <c r="C106" s="260"/>
      <c r="D106" s="260"/>
      <c r="E106" s="260"/>
      <c r="F106" s="260"/>
    </row>
    <row r="107" spans="1:6" ht="12.75" hidden="1" customHeight="1" outlineLevel="2" x14ac:dyDescent="0.2">
      <c r="A107" s="260" t="str">
        <f>"2) The sum of investments in common, preferred and notes &gt; the trigger investment threshhold"</f>
        <v>2) The sum of investments in common, preferred and notes &gt; the trigger investment threshhold</v>
      </c>
      <c r="B107" s="260"/>
      <c r="C107" s="260"/>
      <c r="D107" s="260"/>
      <c r="E107" s="260"/>
      <c r="F107" s="260"/>
    </row>
    <row r="108" spans="1:6" ht="12.75" hidden="1" customHeight="1" outlineLevel="2" x14ac:dyDescent="0.2">
      <c r="A108" s="260" t="str">
        <f>"3) For notes and preferred: investment in notes + preferred &lt; a stated fraction of firm value."</f>
        <v>3) For notes and preferred: investment in notes + preferred &lt; a stated fraction of firm value.</v>
      </c>
      <c r="B108" s="260"/>
      <c r="C108" s="260"/>
      <c r="D108" s="260"/>
      <c r="E108" s="260"/>
      <c r="F108" s="260"/>
    </row>
    <row r="109" spans="1:6" ht="12.75" hidden="1" customHeight="1" outlineLevel="2" x14ac:dyDescent="0.2">
      <c r="A109" s="260" t="str">
        <f>"4) For notes and preferred: value of common shares obtained &gt; (1+premium) * liquidation preference."</f>
        <v>4) For notes and preferred: value of common shares obtained &gt; (1+premium) * liquidation preference.</v>
      </c>
      <c r="B109" s="260"/>
      <c r="C109" s="260"/>
      <c r="D109" s="260"/>
      <c r="E109" s="260"/>
      <c r="F109" s="260"/>
    </row>
    <row r="110" spans="1:6" ht="12.75" hidden="1" customHeight="1" outlineLevel="2" x14ac:dyDescent="0.2">
      <c r="A110" s="260" t="str">
        <f>"5) For warrants and options: common share price &gt;= exercise price."</f>
        <v>5) For warrants and options: common share price &gt;= exercise price.</v>
      </c>
      <c r="B110" s="260"/>
      <c r="C110" s="260"/>
      <c r="D110" s="260"/>
      <c r="E110" s="260"/>
      <c r="F110" s="260"/>
    </row>
    <row r="111" spans="1:6" ht="12.75" hidden="1" customHeight="1" outlineLevel="2" x14ac:dyDescent="0.2">
      <c r="A111" s="260" t="str">
        <f>"Key"</f>
        <v>Key</v>
      </c>
      <c r="B111" s="260"/>
      <c r="C111" s="260"/>
      <c r="D111" s="260"/>
      <c r="E111" s="260"/>
      <c r="F111" s="260"/>
    </row>
    <row r="112" spans="1:6" ht="12.75" hidden="1" customHeight="1" outlineLevel="2" x14ac:dyDescent="0.2">
      <c r="A112" s="260" t="str">
        <f>"-1 : condition is satisfied"</f>
        <v>-1 : condition is satisfied</v>
      </c>
      <c r="B112" s="260"/>
      <c r="C112" s="260"/>
      <c r="D112" s="260"/>
      <c r="E112" s="260"/>
      <c r="F112" s="260"/>
    </row>
    <row r="113" spans="1:6" ht="12.75" hidden="1" customHeight="1" outlineLevel="2" x14ac:dyDescent="0.2">
      <c r="A113" s="260" t="str">
        <f>" 0 : condition is not satisfied"</f>
        <v xml:space="preserve"> 0 : condition is not satisfied</v>
      </c>
      <c r="B113" s="260"/>
      <c r="C113" s="260"/>
      <c r="D113" s="260"/>
      <c r="E113" s="260"/>
      <c r="F113" s="260"/>
    </row>
    <row r="114" spans="1:6" ht="12.75" hidden="1" customHeight="1" outlineLevel="2" x14ac:dyDescent="0.2">
      <c r="A114" s="260" t="str">
        <f>"-1 : condition is not relevant"</f>
        <v>-1 : condition is not relevant</v>
      </c>
      <c r="B114" s="260"/>
      <c r="C114" s="260"/>
      <c r="D114" s="260"/>
      <c r="E114" s="260"/>
      <c r="F114" s="260"/>
    </row>
    <row r="115" spans="1:6" ht="12.75" hidden="1" customHeight="1" outlineLevel="2" collapsed="1" x14ac:dyDescent="0.2"/>
    <row r="116" spans="1:6" ht="12.75" hidden="1" customHeight="1" outlineLevel="1" collapsed="1" x14ac:dyDescent="0.2"/>
    <row r="117" spans="1:6" ht="12.75" customHeight="1" collapsed="1" x14ac:dyDescent="0.2"/>
  </sheetData>
  <mergeCells count="20">
    <mergeCell ref="A106:F106"/>
    <mergeCell ref="A1:D1"/>
    <mergeCell ref="A2:D2"/>
    <mergeCell ref="A3:D3"/>
    <mergeCell ref="A4:D4"/>
    <mergeCell ref="A5:D5"/>
    <mergeCell ref="A9:E9"/>
    <mergeCell ref="A37:G37"/>
    <mergeCell ref="A39:B39"/>
    <mergeCell ref="A53:C53"/>
    <mergeCell ref="A104:F104"/>
    <mergeCell ref="A105:F105"/>
    <mergeCell ref="A113:F113"/>
    <mergeCell ref="A114:F114"/>
    <mergeCell ref="A107:F107"/>
    <mergeCell ref="A108:F108"/>
    <mergeCell ref="A109:F109"/>
    <mergeCell ref="A110:F110"/>
    <mergeCell ref="A111:F111"/>
    <mergeCell ref="A112:F112"/>
  </mergeCells>
  <pageMargins left="0.25" right="0.25" top="0.5" bottom="0.5" header="0.5" footer="0.5"/>
  <pageSetup paperSize="9" fitToHeight="32767" orientation="landscape" horizontalDpi="300" verticalDpi="300"/>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E46"/>
  <sheetViews>
    <sheetView zoomScaleNormal="100" workbookViewId="0"/>
  </sheetViews>
  <sheetFormatPr defaultRowHeight="12.75" customHeight="1" x14ac:dyDescent="0.2"/>
  <cols>
    <col min="1" max="1" width="16.42578125" customWidth="1"/>
    <col min="2" max="4" width="9.5703125" customWidth="1"/>
    <col min="5" max="5" width="9.42578125" customWidth="1"/>
  </cols>
  <sheetData>
    <row r="1" spans="1:4" ht="12.75" customHeight="1" x14ac:dyDescent="0.2">
      <c r="A1" s="261" t="str">
        <f>"Capitalization Table"</f>
        <v>Capitalization Table</v>
      </c>
      <c r="B1" s="261"/>
      <c r="C1" s="261"/>
      <c r="D1" s="261"/>
    </row>
    <row r="2" spans="1:4" ht="12.75" customHeight="1" x14ac:dyDescent="0.2">
      <c r="A2" s="261" t="str">
        <f>Inputs!B8</f>
        <v>ABC Corp.</v>
      </c>
      <c r="B2" s="261"/>
      <c r="C2" s="261"/>
      <c r="D2" s="261"/>
    </row>
    <row r="3" spans="1:4" ht="12.75" customHeight="1" x14ac:dyDescent="0.2">
      <c r="A3" s="261" t="str">
        <f>IF("Prices"="(Default Input)","Ignore this sheet in normal use.","Investment Scenario "&amp;1&amp;", Valuation Scenario "&amp;1)</f>
        <v>Investment Scenario 1, Valuation Scenario 1</v>
      </c>
      <c r="B3" s="261"/>
      <c r="C3" s="261"/>
      <c r="D3" s="261"/>
    </row>
    <row r="4" spans="1:4" ht="12.75" customHeight="1" x14ac:dyDescent="0.2">
      <c r="A4" s="261" t="str">
        <f>"Preferred Shares"</f>
        <v>Preferred Shares</v>
      </c>
      <c r="B4" s="261"/>
      <c r="C4" s="261"/>
      <c r="D4" s="261"/>
    </row>
    <row r="5" spans="1:4" ht="12.75" customHeight="1" x14ac:dyDescent="0.2">
      <c r="A5" s="261" t="str">
        <f>""</f>
        <v/>
      </c>
      <c r="B5" s="261"/>
      <c r="C5" s="261"/>
      <c r="D5" s="261"/>
    </row>
    <row r="6" spans="1:4" ht="12.75" customHeight="1" x14ac:dyDescent="0.2">
      <c r="B6" s="6" t="str">
        <f>Labels!B98</f>
        <v>Seed</v>
      </c>
      <c r="C6" s="7" t="str">
        <f>Labels!B99</f>
        <v>Round A</v>
      </c>
      <c r="D6" s="8" t="str">
        <f>Labels!B100</f>
        <v>Exit</v>
      </c>
    </row>
    <row r="7" spans="1:4" ht="12.75" customHeight="1" x14ac:dyDescent="0.2">
      <c r="A7" s="4" t="str">
        <f>Labels!B20</f>
        <v>Event Date</v>
      </c>
      <c r="B7" s="94">
        <f>Investment!B209</f>
        <v>40391</v>
      </c>
      <c r="C7" s="94">
        <f>Investment!C209</f>
        <v>40725</v>
      </c>
      <c r="D7" s="95">
        <f>Investment!D209</f>
        <v>41061</v>
      </c>
    </row>
    <row r="9" spans="1:4" ht="12.75" customHeight="1" x14ac:dyDescent="0.2">
      <c r="A9" s="262" t="str">
        <f>"Prices - New Securities"</f>
        <v>Prices - New Securities</v>
      </c>
      <c r="B9" s="262"/>
      <c r="C9" s="262"/>
    </row>
    <row r="10" spans="1:4" ht="12.75" customHeight="1" x14ac:dyDescent="0.2">
      <c r="A10" s="1" t="str">
        <f>" "</f>
        <v xml:space="preserve"> </v>
      </c>
    </row>
    <row r="11" spans="1:4" ht="12.75" customHeight="1" x14ac:dyDescent="0.2">
      <c r="B11" s="6" t="str">
        <f>Labels!B98</f>
        <v>Seed</v>
      </c>
      <c r="C11" s="7" t="str">
        <f>Labels!B99</f>
        <v>Round A</v>
      </c>
      <c r="D11" s="8" t="str">
        <f>Labels!B100</f>
        <v>Exit</v>
      </c>
    </row>
    <row r="12" spans="1:4" ht="12.75" customHeight="1" x14ac:dyDescent="0.2">
      <c r="A12" s="11" t="str">
        <f>Labels!B68</f>
        <v>Price New Unit</v>
      </c>
      <c r="B12" s="51"/>
      <c r="C12" s="51"/>
      <c r="D12" s="52"/>
    </row>
    <row r="13" spans="1:4" ht="12.75" customHeight="1" x14ac:dyDescent="0.2">
      <c r="A13" s="28" t="str">
        <f>"   "&amp;Labels!B103</f>
        <v xml:space="preserve">   Conv Note</v>
      </c>
      <c r="B13" s="126"/>
      <c r="C13" s="126"/>
      <c r="D13" s="127"/>
    </row>
    <row r="14" spans="1:4" ht="12.75" customHeight="1" x14ac:dyDescent="0.2">
      <c r="A14" s="89" t="str">
        <f>"      "&amp;Labels!B104</f>
        <v xml:space="preserve">      Series B</v>
      </c>
      <c r="B14" s="53">
        <f>'(Other Variables)'!B19</f>
        <v>0</v>
      </c>
      <c r="C14" s="53">
        <f>'(Other Variables)'!C19</f>
        <v>0</v>
      </c>
      <c r="D14" s="54">
        <f>'(Other Variables)'!D19</f>
        <v>0</v>
      </c>
    </row>
    <row r="15" spans="1:4" ht="12.75" customHeight="1" x14ac:dyDescent="0.2">
      <c r="A15" s="89" t="str">
        <f>"      "&amp;Labels!B105</f>
        <v xml:space="preserve">      Series A</v>
      </c>
      <c r="B15" s="53">
        <f>'(Other Variables)'!B20</f>
        <v>0</v>
      </c>
      <c r="C15" s="53">
        <f>'(Other Variables)'!C20</f>
        <v>0</v>
      </c>
      <c r="D15" s="54">
        <f>'(Other Variables)'!D20</f>
        <v>0</v>
      </c>
    </row>
    <row r="16" spans="1:4" ht="12.75" customHeight="1" x14ac:dyDescent="0.2">
      <c r="A16" s="28" t="str">
        <f>"   "&amp;Labels!B106</f>
        <v xml:space="preserve">   Preferred</v>
      </c>
      <c r="B16" s="126"/>
      <c r="C16" s="126"/>
      <c r="D16" s="127"/>
    </row>
    <row r="17" spans="1:5" ht="12.75" customHeight="1" x14ac:dyDescent="0.2">
      <c r="A17" s="89" t="str">
        <f>"      "&amp;Labels!B107</f>
        <v xml:space="preserve">      Series A</v>
      </c>
      <c r="B17" s="53">
        <f>'(Other Variables)'!B23</f>
        <v>1.1000000000000001</v>
      </c>
      <c r="C17" s="53">
        <f>'(Other Variables)'!C23</f>
        <v>1100000</v>
      </c>
      <c r="D17" s="54">
        <f>'(Other Variables)'!D23</f>
        <v>1100000</v>
      </c>
    </row>
    <row r="18" spans="1:5" ht="12.75" customHeight="1" x14ac:dyDescent="0.2">
      <c r="A18" s="28" t="str">
        <f>"   "&amp;Labels!B108</f>
        <v xml:space="preserve">   Common</v>
      </c>
      <c r="B18" s="128">
        <f>'(Other Variables)'!B25</f>
        <v>1</v>
      </c>
      <c r="C18" s="128">
        <f>'(Other Variables)'!C25</f>
        <v>1000000</v>
      </c>
      <c r="D18" s="129">
        <f>'(Other Variables)'!D25</f>
        <v>1000000</v>
      </c>
    </row>
    <row r="19" spans="1:5" ht="12.75" customHeight="1" x14ac:dyDescent="0.2">
      <c r="A19" s="28" t="str">
        <f>"   "&amp;Labels!B109</f>
        <v xml:space="preserve">   Warrant</v>
      </c>
      <c r="B19" s="128">
        <f>MAX(0,Boneyard!D26*B18+Boneyard!D26*(-'(Other Variables)'!B12))</f>
        <v>1</v>
      </c>
      <c r="C19" s="128">
        <f>MAX(0,Boneyard!D26*C18+Boneyard!D26*(-'(Other Variables)'!B12))</f>
        <v>1000000</v>
      </c>
      <c r="D19" s="129">
        <f>MAX(0,Boneyard!D26*D18+Boneyard!D26*(-'(Other Variables)'!B12))</f>
        <v>1000000</v>
      </c>
    </row>
    <row r="20" spans="1:5" ht="12.75" customHeight="1" x14ac:dyDescent="0.2">
      <c r="A20" s="28" t="str">
        <f>"   "&amp;Labels!B110</f>
        <v xml:space="preserve">   Option</v>
      </c>
      <c r="B20" s="126"/>
      <c r="C20" s="126"/>
      <c r="D20" s="127"/>
    </row>
    <row r="21" spans="1:5" ht="12.75" customHeight="1" x14ac:dyDescent="0.2">
      <c r="A21" s="89" t="str">
        <f>"      "&amp;Labels!B111</f>
        <v xml:space="preserve">      Series B</v>
      </c>
      <c r="B21" s="130">
        <f>Inputs!B96</f>
        <v>1</v>
      </c>
      <c r="C21" s="130">
        <f>Inputs!C96</f>
        <v>1000000</v>
      </c>
      <c r="D21" s="131">
        <f>Inputs!D96</f>
        <v>1000000</v>
      </c>
    </row>
    <row r="22" spans="1:5" ht="12.75" customHeight="1" x14ac:dyDescent="0.2">
      <c r="A22" s="101" t="str">
        <f>"      "&amp;Labels!B112</f>
        <v xml:space="preserve">      Series A</v>
      </c>
      <c r="B22" s="132">
        <f>Inputs!B97</f>
        <v>1</v>
      </c>
      <c r="C22" s="132">
        <f>Inputs!C97</f>
        <v>1000000</v>
      </c>
      <c r="D22" s="133">
        <f>Inputs!D97</f>
        <v>1000000</v>
      </c>
    </row>
    <row r="25" spans="1:5" ht="12.75" customHeight="1" x14ac:dyDescent="0.2">
      <c r="A25" s="262" t="str">
        <f>"Conversion and Exercise Prices"</f>
        <v>Conversion and Exercise Prices</v>
      </c>
      <c r="B25" s="262"/>
      <c r="C25" s="262"/>
    </row>
    <row r="26" spans="1:5" ht="12.75" customHeight="1" x14ac:dyDescent="0.2">
      <c r="A26" s="1" t="str">
        <f>" "</f>
        <v xml:space="preserve"> </v>
      </c>
    </row>
    <row r="27" spans="1:5" ht="12.75" customHeight="1" x14ac:dyDescent="0.2">
      <c r="A27" s="263" t="str">
        <f>"Convertible Notes"</f>
        <v>Convertible Notes</v>
      </c>
      <c r="B27" s="263"/>
    </row>
    <row r="28" spans="1:5" ht="12.75" customHeight="1" x14ac:dyDescent="0.2">
      <c r="B28" s="6" t="str">
        <f>Labels!B98</f>
        <v>Seed</v>
      </c>
      <c r="C28" s="7" t="str">
        <f>Labels!B99</f>
        <v>Round A</v>
      </c>
      <c r="D28" s="7" t="str">
        <f>Labels!B100</f>
        <v>Exit</v>
      </c>
      <c r="E28" s="25" t="str">
        <f>Labels!C97</f>
        <v>Total</v>
      </c>
    </row>
    <row r="29" spans="1:5" ht="12.75" customHeight="1" x14ac:dyDescent="0.2">
      <c r="A29" s="11" t="str">
        <f>Labels!B67</f>
        <v>Conversion Price</v>
      </c>
      <c r="B29" s="51"/>
      <c r="C29" s="51"/>
      <c r="D29" s="51"/>
      <c r="E29" s="134"/>
    </row>
    <row r="30" spans="1:5" ht="12.75" customHeight="1" x14ac:dyDescent="0.2">
      <c r="A30" s="28" t="str">
        <f>"   "&amp;Labels!B104</f>
        <v xml:space="preserve">   Series B</v>
      </c>
      <c r="B30" s="126">
        <f>MAX(0,'(Other Variables)'!B181*1+'(Other Variables)'!B181*(-Inputs!B23))</f>
        <v>700000.7</v>
      </c>
      <c r="C30" s="126">
        <f>MAX(0,'(Other Variables)'!C181*1+'(Other Variables)'!C181*(-Inputs!B23))</f>
        <v>700000</v>
      </c>
      <c r="D30" s="126">
        <f>MAX(0,'(Other Variables)'!D181*1+'(Other Variables)'!D181*(-Inputs!B23))</f>
        <v>700000</v>
      </c>
      <c r="E30" s="135">
        <f>D30</f>
        <v>700000</v>
      </c>
    </row>
    <row r="31" spans="1:5" ht="12.75" customHeight="1" x14ac:dyDescent="0.2">
      <c r="A31" s="28" t="str">
        <f>"   "&amp;Labels!B105</f>
        <v xml:space="preserve">   Series A</v>
      </c>
      <c r="B31" s="126">
        <f>MAX(0,'(Other Variables)'!B181*1+'(Other Variables)'!B181*(-Inputs!B24))</f>
        <v>700000.7</v>
      </c>
      <c r="C31" s="126">
        <f>MAX(0,'(Other Variables)'!C181*1+'(Other Variables)'!C181*(-Inputs!B24))</f>
        <v>700000</v>
      </c>
      <c r="D31" s="126">
        <f>MAX(0,'(Other Variables)'!D181*1+'(Other Variables)'!D181*(-Inputs!B24))</f>
        <v>700000</v>
      </c>
      <c r="E31" s="135">
        <f>D31</f>
        <v>700000</v>
      </c>
    </row>
    <row r="32" spans="1:5" ht="12.75" customHeight="1" x14ac:dyDescent="0.2">
      <c r="A32" s="15" t="str">
        <f>"   "&amp;Labels!C103</f>
        <v xml:space="preserve">   Subtotal</v>
      </c>
      <c r="B32" s="58">
        <f>B31</f>
        <v>700000.7</v>
      </c>
      <c r="C32" s="58">
        <f>C31</f>
        <v>700000</v>
      </c>
      <c r="D32" s="58">
        <f>D31</f>
        <v>700000</v>
      </c>
      <c r="E32" s="136">
        <f>E31</f>
        <v>700000</v>
      </c>
    </row>
    <row r="34" spans="1:5" ht="12.75" customHeight="1" x14ac:dyDescent="0.2">
      <c r="A34" s="263" t="str">
        <f>"Preferred Stock"</f>
        <v>Preferred Stock</v>
      </c>
      <c r="B34" s="263"/>
    </row>
    <row r="35" spans="1:5" ht="12.75" customHeight="1" x14ac:dyDescent="0.2">
      <c r="A35" s="11" t="str">
        <f>Labels!B67</f>
        <v>Conversion Price</v>
      </c>
      <c r="B35" s="51"/>
      <c r="C35" s="51"/>
      <c r="D35" s="51"/>
      <c r="E35" s="134"/>
    </row>
    <row r="36" spans="1:5" ht="12.75" customHeight="1" x14ac:dyDescent="0.2">
      <c r="A36" s="28" t="str">
        <f>"   "&amp;Labels!B107</f>
        <v xml:space="preserve">   Series A</v>
      </c>
      <c r="B36" s="126">
        <f>MAX(0,'(Other Variables)'!B181)</f>
        <v>1000001</v>
      </c>
      <c r="C36" s="126">
        <f>MAX(0,'(Other Variables)'!C181)</f>
        <v>1000000</v>
      </c>
      <c r="D36" s="126">
        <f>MAX(0,'(Other Variables)'!D181)</f>
        <v>1000000</v>
      </c>
      <c r="E36" s="135">
        <f>D36</f>
        <v>1000000</v>
      </c>
    </row>
    <row r="37" spans="1:5" ht="12.75" customHeight="1" x14ac:dyDescent="0.2">
      <c r="A37" s="15" t="str">
        <f>"   "&amp;Labels!C106</f>
        <v xml:space="preserve">   Subtotal</v>
      </c>
      <c r="B37" s="58">
        <f>B36</f>
        <v>1000001</v>
      </c>
      <c r="C37" s="58">
        <f>C36</f>
        <v>1000000</v>
      </c>
      <c r="D37" s="58">
        <f>D36</f>
        <v>1000000</v>
      </c>
      <c r="E37" s="136">
        <f>E36</f>
        <v>1000000</v>
      </c>
    </row>
    <row r="39" spans="1:5" ht="12.75" customHeight="1" x14ac:dyDescent="0.2">
      <c r="A39" s="3" t="str">
        <f>"Warrants"</f>
        <v>Warrants</v>
      </c>
    </row>
    <row r="40" spans="1:5" ht="12.75" customHeight="1" x14ac:dyDescent="0.2">
      <c r="A40" s="4" t="str">
        <f>Labels!B67</f>
        <v>Conversion Price</v>
      </c>
      <c r="B40" s="137">
        <f>MAX(0,'(Other Variables)'!B181-'(Other Variables)'!B12)</f>
        <v>1000001</v>
      </c>
      <c r="C40" s="137">
        <f>MAX(0,'(Other Variables)'!C181-'(Other Variables)'!B12)</f>
        <v>1000000</v>
      </c>
      <c r="D40" s="137">
        <f>MAX(0,'(Other Variables)'!D181-'(Other Variables)'!B12)</f>
        <v>1000000</v>
      </c>
      <c r="E40" s="46">
        <f>D40</f>
        <v>1000000</v>
      </c>
    </row>
    <row r="42" spans="1:5" ht="12.75" customHeight="1" x14ac:dyDescent="0.2">
      <c r="A42" s="3" t="str">
        <f>"Options"</f>
        <v>Options</v>
      </c>
    </row>
    <row r="43" spans="1:5" ht="12.75" customHeight="1" x14ac:dyDescent="0.2">
      <c r="A43" s="11" t="str">
        <f>Labels!B67</f>
        <v>Conversion Price</v>
      </c>
      <c r="B43" s="51"/>
      <c r="C43" s="51"/>
      <c r="D43" s="51"/>
      <c r="E43" s="134"/>
    </row>
    <row r="44" spans="1:5" ht="12.75" customHeight="1" x14ac:dyDescent="0.2">
      <c r="A44" s="28" t="str">
        <f>"   "&amp;Labels!B111</f>
        <v xml:space="preserve">   Series B</v>
      </c>
      <c r="B44" s="126">
        <f>MAX(0,'(Other Variables)'!B181-Inputs!B101)</f>
        <v>1000001</v>
      </c>
      <c r="C44" s="126">
        <f>MAX(0,'(Other Variables)'!C181-Inputs!B101)</f>
        <v>1000000</v>
      </c>
      <c r="D44" s="126">
        <f>MAX(0,'(Other Variables)'!D181-Inputs!B101)</f>
        <v>1000000</v>
      </c>
      <c r="E44" s="135">
        <f>D44</f>
        <v>1000000</v>
      </c>
    </row>
    <row r="45" spans="1:5" ht="12.75" customHeight="1" x14ac:dyDescent="0.2">
      <c r="A45" s="28" t="str">
        <f>"   "&amp;Labels!B112</f>
        <v xml:space="preserve">   Series A</v>
      </c>
      <c r="B45" s="126">
        <f>MAX(0,'(Other Variables)'!B181-Inputs!B102)</f>
        <v>1000001</v>
      </c>
      <c r="C45" s="126">
        <f>MAX(0,'(Other Variables)'!C181-Inputs!B102)</f>
        <v>1000000</v>
      </c>
      <c r="D45" s="126">
        <f>MAX(0,'(Other Variables)'!D181-Inputs!B102)</f>
        <v>1000000</v>
      </c>
      <c r="E45" s="135">
        <f>D45</f>
        <v>1000000</v>
      </c>
    </row>
    <row r="46" spans="1:5" ht="12.75" customHeight="1" x14ac:dyDescent="0.2">
      <c r="A46" s="15" t="str">
        <f>"   "&amp;Labels!C110</f>
        <v xml:space="preserve">   Subtotal</v>
      </c>
      <c r="B46" s="58">
        <f>B45</f>
        <v>1000001</v>
      </c>
      <c r="C46" s="58">
        <f>C45</f>
        <v>1000000</v>
      </c>
      <c r="D46" s="58">
        <f>D45</f>
        <v>1000000</v>
      </c>
      <c r="E46" s="136">
        <f>E45</f>
        <v>1000000</v>
      </c>
    </row>
  </sheetData>
  <mergeCells count="9">
    <mergeCell ref="A25:C25"/>
    <mergeCell ref="A27:B27"/>
    <mergeCell ref="A34:B34"/>
    <mergeCell ref="A1:D1"/>
    <mergeCell ref="A2:D2"/>
    <mergeCell ref="A3:D3"/>
    <mergeCell ref="A4:D4"/>
    <mergeCell ref="A5:D5"/>
    <mergeCell ref="A9:C9"/>
  </mergeCells>
  <pageMargins left="0.25" right="0.25" top="0.5" bottom="0.5" header="0.5" footer="0.5"/>
  <pageSetup paperSize="9" fitToHeight="32767" orientation="landscape"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E50"/>
  <sheetViews>
    <sheetView zoomScaleNormal="100" workbookViewId="0"/>
  </sheetViews>
  <sheetFormatPr defaultRowHeight="12.75" customHeight="1" x14ac:dyDescent="0.2"/>
  <cols>
    <col min="1" max="1" width="18.5703125" customWidth="1"/>
    <col min="2" max="4" width="9.5703125" customWidth="1"/>
    <col min="5" max="5" width="9.42578125" customWidth="1"/>
  </cols>
  <sheetData>
    <row r="1" spans="1:5" ht="12.75" customHeight="1" x14ac:dyDescent="0.2">
      <c r="A1" s="261" t="str">
        <f>"Capitalization Table"</f>
        <v>Capitalization Table</v>
      </c>
      <c r="B1" s="261"/>
      <c r="C1" s="261"/>
      <c r="D1" s="261"/>
    </row>
    <row r="2" spans="1:5" ht="12.75" customHeight="1" x14ac:dyDescent="0.2">
      <c r="A2" s="261" t="str">
        <f>Inputs!B8</f>
        <v>ABC Corp.</v>
      </c>
      <c r="B2" s="261"/>
      <c r="C2" s="261"/>
      <c r="D2" s="261"/>
    </row>
    <row r="3" spans="1:5" ht="12.75" customHeight="1" x14ac:dyDescent="0.2">
      <c r="A3" s="261" t="str">
        <f>IF("Options"="(Default Input)","Ignore this sheet in normal use.","Investment Scenario "&amp;1&amp;", Valuation Scenario "&amp;1)</f>
        <v>Investment Scenario 1, Valuation Scenario 1</v>
      </c>
      <c r="B3" s="261"/>
      <c r="C3" s="261"/>
      <c r="D3" s="261"/>
    </row>
    <row r="4" spans="1:5" ht="12.75" customHeight="1" x14ac:dyDescent="0.2">
      <c r="A4" s="261" t="str">
        <f>"Option Summary"</f>
        <v>Option Summary</v>
      </c>
      <c r="B4" s="261"/>
      <c r="C4" s="261"/>
      <c r="D4" s="261"/>
    </row>
    <row r="5" spans="1:5" ht="12.75" customHeight="1" x14ac:dyDescent="0.2">
      <c r="A5" s="261" t="str">
        <f>""</f>
        <v/>
      </c>
      <c r="B5" s="261"/>
      <c r="C5" s="261"/>
      <c r="D5" s="261"/>
    </row>
    <row r="6" spans="1:5" ht="12.75" customHeight="1" x14ac:dyDescent="0.2">
      <c r="B6" s="6" t="str">
        <f>Labels!B98</f>
        <v>Seed</v>
      </c>
      <c r="C6" s="7" t="str">
        <f>Labels!B99</f>
        <v>Round A</v>
      </c>
      <c r="D6" s="8" t="str">
        <f>Labels!B100</f>
        <v>Exit</v>
      </c>
    </row>
    <row r="7" spans="1:5" ht="12.75" customHeight="1" x14ac:dyDescent="0.2">
      <c r="A7" s="4" t="str">
        <f>Labels!B20</f>
        <v>Event Date</v>
      </c>
      <c r="B7" s="94">
        <f>Investment!B209</f>
        <v>40391</v>
      </c>
      <c r="C7" s="94">
        <f>Investment!C209</f>
        <v>40725</v>
      </c>
      <c r="D7" s="95">
        <f>Investment!D209</f>
        <v>41061</v>
      </c>
    </row>
    <row r="9" spans="1:5" ht="12.75" customHeight="1" x14ac:dyDescent="0.2">
      <c r="A9" s="2" t="str">
        <f>"Warrants"</f>
        <v>Warrants</v>
      </c>
    </row>
    <row r="10" spans="1:5" ht="12.75" customHeight="1" x14ac:dyDescent="0.2">
      <c r="A10" s="1" t="str">
        <f>" "</f>
        <v xml:space="preserve"> </v>
      </c>
    </row>
    <row r="11" spans="1:5" ht="12.75" customHeight="1" x14ac:dyDescent="0.2">
      <c r="B11" s="6" t="str">
        <f>Labels!B98</f>
        <v>Seed</v>
      </c>
      <c r="C11" s="7" t="str">
        <f>Labels!B99</f>
        <v>Round A</v>
      </c>
      <c r="D11" s="7" t="str">
        <f>Labels!B100</f>
        <v>Exit</v>
      </c>
      <c r="E11" s="25" t="str">
        <f>Labels!C97</f>
        <v>Total</v>
      </c>
    </row>
    <row r="12" spans="1:5" ht="12.75" customHeight="1" x14ac:dyDescent="0.2">
      <c r="A12" s="11" t="str">
        <f>Labels!B52</f>
        <v>Exercise Amt</v>
      </c>
      <c r="B12" s="26"/>
      <c r="C12" s="26"/>
      <c r="D12" s="26"/>
      <c r="E12" s="27"/>
    </row>
    <row r="13" spans="1:5" ht="12.75" customHeight="1" x14ac:dyDescent="0.2">
      <c r="A13" s="28" t="str">
        <f>"   "&amp;Labels!B91</f>
        <v xml:space="preserve">   Start</v>
      </c>
      <c r="B13" s="70">
        <f>0</f>
        <v>0</v>
      </c>
      <c r="C13" s="70">
        <f>B17</f>
        <v>0</v>
      </c>
      <c r="D13" s="70">
        <f>C17</f>
        <v>0</v>
      </c>
      <c r="E13" s="30">
        <f>SUM(B13:D13)</f>
        <v>0</v>
      </c>
    </row>
    <row r="14" spans="1:5" ht="12.75" customHeight="1" x14ac:dyDescent="0.2">
      <c r="A14" s="28" t="str">
        <f>"   "&amp;Labels!B92</f>
        <v xml:space="preserve">   New Sales</v>
      </c>
      <c r="B14" s="70">
        <f>'(Other Variables)'!B119*'(Other Variables)'!B12</f>
        <v>0</v>
      </c>
      <c r="C14" s="70">
        <f>'(Other Variables)'!C119*'(Other Variables)'!B12</f>
        <v>0</v>
      </c>
      <c r="D14" s="70">
        <f>'(Other Variables)'!D119*'(Other Variables)'!B12</f>
        <v>0</v>
      </c>
      <c r="E14" s="30">
        <f>SUM(B14:D14)</f>
        <v>0</v>
      </c>
    </row>
    <row r="15" spans="1:5" ht="12.75" customHeight="1" x14ac:dyDescent="0.2">
      <c r="A15" s="28" t="str">
        <f>"   "&amp;Labels!B93</f>
        <v xml:space="preserve">   Post Sales</v>
      </c>
      <c r="B15" s="70">
        <f>B13+B14</f>
        <v>0</v>
      </c>
      <c r="C15" s="70">
        <f>C13+C14</f>
        <v>0</v>
      </c>
      <c r="D15" s="70">
        <f>D13+D14</f>
        <v>0</v>
      </c>
      <c r="E15" s="30">
        <f>SUM(B15:D15)</f>
        <v>0</v>
      </c>
    </row>
    <row r="16" spans="1:5" ht="12.75" customHeight="1" x14ac:dyDescent="0.2">
      <c r="A16" s="28" t="str">
        <f>"   "&amp;Labels!B94</f>
        <v xml:space="preserve">   Convert</v>
      </c>
      <c r="B16" s="70">
        <f>Conversion!B33*B15</f>
        <v>0</v>
      </c>
      <c r="C16" s="70">
        <f>Conversion!C33*C15</f>
        <v>0</v>
      </c>
      <c r="D16" s="70">
        <f>Conversion!D33*D15</f>
        <v>0</v>
      </c>
      <c r="E16" s="30">
        <f>SUM(B16:D16)</f>
        <v>0</v>
      </c>
    </row>
    <row r="17" spans="1:5" ht="12.75" customHeight="1" x14ac:dyDescent="0.2">
      <c r="A17" s="28" t="str">
        <f>"   "&amp;Labels!B95</f>
        <v xml:space="preserve">   End</v>
      </c>
      <c r="B17" s="70">
        <f>B15-B16</f>
        <v>0</v>
      </c>
      <c r="C17" s="70">
        <f>C15-C16</f>
        <v>0</v>
      </c>
      <c r="D17" s="70">
        <f>D15-D16</f>
        <v>0</v>
      </c>
      <c r="E17" s="30">
        <f>SUM(B17:D17)</f>
        <v>0</v>
      </c>
    </row>
    <row r="18" spans="1:5" ht="12.75" customHeight="1" x14ac:dyDescent="0.2">
      <c r="A18" s="4"/>
      <c r="B18" s="92"/>
      <c r="C18" s="92"/>
      <c r="D18" s="92"/>
      <c r="E18" s="4"/>
    </row>
    <row r="19" spans="1:5" ht="12.75" customHeight="1" x14ac:dyDescent="0.2">
      <c r="A19" s="15" t="str">
        <f>Labels!B54</f>
        <v>Units 'in the Money'</v>
      </c>
      <c r="B19" s="64">
        <f>IF('(Other Variables)'!B181&lt;='(Other Variables)'!B12,0,Shares!B37)</f>
        <v>0</v>
      </c>
      <c r="C19" s="64">
        <f>IF('(Other Variables)'!C181&lt;='(Other Variables)'!B12,0,Shares!C37)</f>
        <v>0</v>
      </c>
      <c r="D19" s="64">
        <f>IF('(Other Variables)'!D181&lt;='(Other Variables)'!B12,0,Shares!D37)</f>
        <v>0</v>
      </c>
      <c r="E19" s="65">
        <f>SUM(B19:D19)</f>
        <v>0</v>
      </c>
    </row>
    <row r="22" spans="1:5" ht="12.75" customHeight="1" x14ac:dyDescent="0.2">
      <c r="A22" s="2" t="str">
        <f>"Options"</f>
        <v>Options</v>
      </c>
    </row>
    <row r="23" spans="1:5" ht="12.75" customHeight="1" x14ac:dyDescent="0.2">
      <c r="A23" s="1" t="str">
        <f>" "</f>
        <v xml:space="preserve"> </v>
      </c>
    </row>
    <row r="24" spans="1:5" ht="12.75" customHeight="1" x14ac:dyDescent="0.2">
      <c r="B24" s="6" t="str">
        <f>Labels!B98</f>
        <v>Seed</v>
      </c>
      <c r="C24" s="7" t="str">
        <f>Labels!B99</f>
        <v>Round A</v>
      </c>
      <c r="D24" s="7" t="str">
        <f>Labels!B100</f>
        <v>Exit</v>
      </c>
      <c r="E24" s="25" t="str">
        <f>Labels!C97</f>
        <v>Total</v>
      </c>
    </row>
    <row r="25" spans="1:5" ht="12.75" customHeight="1" x14ac:dyDescent="0.2">
      <c r="A25" s="11" t="str">
        <f>Labels!B52</f>
        <v>Exercise Amt</v>
      </c>
      <c r="B25" s="26"/>
      <c r="C25" s="26"/>
      <c r="D25" s="26"/>
      <c r="E25" s="27"/>
    </row>
    <row r="26" spans="1:5" ht="12.75" customHeight="1" x14ac:dyDescent="0.2">
      <c r="A26" s="28" t="str">
        <f>"   "&amp;Labels!B91</f>
        <v xml:space="preserve">   Start</v>
      </c>
      <c r="B26" s="70"/>
      <c r="C26" s="70"/>
      <c r="D26" s="70"/>
      <c r="E26" s="30"/>
    </row>
    <row r="27" spans="1:5" ht="12.75" customHeight="1" x14ac:dyDescent="0.2">
      <c r="A27" s="89" t="str">
        <f>"      "&amp;Labels!B111</f>
        <v xml:space="preserve">      Series B</v>
      </c>
      <c r="B27" s="91">
        <f>0</f>
        <v>0</v>
      </c>
      <c r="C27" s="91">
        <f>B43</f>
        <v>0</v>
      </c>
      <c r="D27" s="91">
        <f>C43</f>
        <v>0</v>
      </c>
      <c r="E27" s="30">
        <f>SUM(B27:D27)</f>
        <v>0</v>
      </c>
    </row>
    <row r="28" spans="1:5" ht="12.75" customHeight="1" x14ac:dyDescent="0.2">
      <c r="A28" s="89" t="str">
        <f>"      "&amp;Labels!B112</f>
        <v xml:space="preserve">      Series A</v>
      </c>
      <c r="B28" s="91">
        <f>0</f>
        <v>0</v>
      </c>
      <c r="C28" s="91">
        <f>B44</f>
        <v>0</v>
      </c>
      <c r="D28" s="91">
        <f>C44</f>
        <v>0</v>
      </c>
      <c r="E28" s="30">
        <f>SUM(B28:D28)</f>
        <v>0</v>
      </c>
    </row>
    <row r="29" spans="1:5" ht="12.75" customHeight="1" x14ac:dyDescent="0.2">
      <c r="A29" s="28" t="str">
        <f>"      "&amp;Labels!C110</f>
        <v xml:space="preserve">      Subtotal</v>
      </c>
      <c r="B29" s="70">
        <f>SUM(B27:B28)</f>
        <v>0</v>
      </c>
      <c r="C29" s="70">
        <f>SUM(C27:C28)</f>
        <v>0</v>
      </c>
      <c r="D29" s="70">
        <f>SUM(D27:D28)</f>
        <v>0</v>
      </c>
      <c r="E29" s="30">
        <f>SUM(E27:E28)</f>
        <v>0</v>
      </c>
    </row>
    <row r="30" spans="1:5" ht="12.75" customHeight="1" x14ac:dyDescent="0.2">
      <c r="A30" s="28" t="str">
        <f>"   "&amp;Labels!B92</f>
        <v xml:space="preserve">   New Sales</v>
      </c>
      <c r="B30" s="70"/>
      <c r="C30" s="70"/>
      <c r="D30" s="70"/>
      <c r="E30" s="30"/>
    </row>
    <row r="31" spans="1:5" ht="12.75" customHeight="1" x14ac:dyDescent="0.2">
      <c r="A31" s="89" t="str">
        <f>"      "&amp;Labels!B111</f>
        <v xml:space="preserve">      Series B</v>
      </c>
      <c r="B31" s="91">
        <f>'(Other Variables)'!B121*Inputs!B101</f>
        <v>0</v>
      </c>
      <c r="C31" s="91">
        <f>'(Other Variables)'!C121*Inputs!B101</f>
        <v>0</v>
      </c>
      <c r="D31" s="91">
        <f>'(Other Variables)'!D121*Inputs!B101</f>
        <v>0</v>
      </c>
      <c r="E31" s="30">
        <f>SUM(B31:D31)</f>
        <v>0</v>
      </c>
    </row>
    <row r="32" spans="1:5" ht="12.75" customHeight="1" x14ac:dyDescent="0.2">
      <c r="A32" s="89" t="str">
        <f>"      "&amp;Labels!B112</f>
        <v xml:space="preserve">      Series A</v>
      </c>
      <c r="B32" s="91">
        <f>'(Other Variables)'!B122*Inputs!B102</f>
        <v>0</v>
      </c>
      <c r="C32" s="91">
        <f>'(Other Variables)'!C122*Inputs!B102</f>
        <v>0</v>
      </c>
      <c r="D32" s="91">
        <f>'(Other Variables)'!D122*Inputs!B102</f>
        <v>0</v>
      </c>
      <c r="E32" s="30">
        <f>SUM(B32:D32)</f>
        <v>0</v>
      </c>
    </row>
    <row r="33" spans="1:5" ht="12.75" customHeight="1" x14ac:dyDescent="0.2">
      <c r="A33" s="28" t="str">
        <f>"      "&amp;Labels!C110</f>
        <v xml:space="preserve">      Subtotal</v>
      </c>
      <c r="B33" s="70">
        <f>SUM(B31:B32)</f>
        <v>0</v>
      </c>
      <c r="C33" s="70">
        <f>SUM(C31:C32)</f>
        <v>0</v>
      </c>
      <c r="D33" s="70">
        <f>SUM(D31:D32)</f>
        <v>0</v>
      </c>
      <c r="E33" s="30">
        <f>SUM(E31:E32)</f>
        <v>0</v>
      </c>
    </row>
    <row r="34" spans="1:5" ht="12.75" customHeight="1" x14ac:dyDescent="0.2">
      <c r="A34" s="28" t="str">
        <f>"   "&amp;Labels!B93</f>
        <v xml:space="preserve">   Post Sales</v>
      </c>
      <c r="B34" s="70"/>
      <c r="C34" s="70"/>
      <c r="D34" s="70"/>
      <c r="E34" s="30"/>
    </row>
    <row r="35" spans="1:5" ht="12.75" customHeight="1" x14ac:dyDescent="0.2">
      <c r="A35" s="89" t="str">
        <f>"      "&amp;Labels!B111</f>
        <v xml:space="preserve">      Series B</v>
      </c>
      <c r="B35" s="91">
        <f t="shared" ref="B35:D36" si="0">B27+B31</f>
        <v>0</v>
      </c>
      <c r="C35" s="91">
        <f t="shared" si="0"/>
        <v>0</v>
      </c>
      <c r="D35" s="91">
        <f t="shared" si="0"/>
        <v>0</v>
      </c>
      <c r="E35" s="30">
        <f>SUM(B35:D35)</f>
        <v>0</v>
      </c>
    </row>
    <row r="36" spans="1:5" ht="12.75" customHeight="1" x14ac:dyDescent="0.2">
      <c r="A36" s="89" t="str">
        <f>"      "&amp;Labels!B112</f>
        <v xml:space="preserve">      Series A</v>
      </c>
      <c r="B36" s="91">
        <f t="shared" si="0"/>
        <v>0</v>
      </c>
      <c r="C36" s="91">
        <f t="shared" si="0"/>
        <v>0</v>
      </c>
      <c r="D36" s="91">
        <f t="shared" si="0"/>
        <v>0</v>
      </c>
      <c r="E36" s="30">
        <f>SUM(B36:D36)</f>
        <v>0</v>
      </c>
    </row>
    <row r="37" spans="1:5" ht="12.75" customHeight="1" x14ac:dyDescent="0.2">
      <c r="A37" s="28" t="str">
        <f>"      "&amp;Labels!C110</f>
        <v xml:space="preserve">      Subtotal</v>
      </c>
      <c r="B37" s="70">
        <f>SUM(B35:B36)</f>
        <v>0</v>
      </c>
      <c r="C37" s="70">
        <f>SUM(C35:C36)</f>
        <v>0</v>
      </c>
      <c r="D37" s="70">
        <f>SUM(D35:D36)</f>
        <v>0</v>
      </c>
      <c r="E37" s="30">
        <f>SUM(E35:E36)</f>
        <v>0</v>
      </c>
    </row>
    <row r="38" spans="1:5" ht="12.75" customHeight="1" x14ac:dyDescent="0.2">
      <c r="A38" s="28" t="str">
        <f>"   "&amp;Labels!B94</f>
        <v xml:space="preserve">   Convert</v>
      </c>
      <c r="B38" s="70"/>
      <c r="C38" s="70"/>
      <c r="D38" s="70"/>
      <c r="E38" s="30"/>
    </row>
    <row r="39" spans="1:5" ht="12.75" customHeight="1" x14ac:dyDescent="0.2">
      <c r="A39" s="89" t="str">
        <f>"      "&amp;Labels!B111</f>
        <v xml:space="preserve">      Series B</v>
      </c>
      <c r="B39" s="91">
        <f>Conversion!B35*B35</f>
        <v>0</v>
      </c>
      <c r="C39" s="91">
        <f>Conversion!C35*C35</f>
        <v>0</v>
      </c>
      <c r="D39" s="91">
        <f>Conversion!D35*D35</f>
        <v>0</v>
      </c>
      <c r="E39" s="30">
        <f>SUM(B39:D39)</f>
        <v>0</v>
      </c>
    </row>
    <row r="40" spans="1:5" ht="12.75" customHeight="1" x14ac:dyDescent="0.2">
      <c r="A40" s="89" t="str">
        <f>"      "&amp;Labels!B112</f>
        <v xml:space="preserve">      Series A</v>
      </c>
      <c r="B40" s="91">
        <f>Conversion!B36*B36</f>
        <v>0</v>
      </c>
      <c r="C40" s="91">
        <f>Conversion!C36*C36</f>
        <v>0</v>
      </c>
      <c r="D40" s="91">
        <f>Conversion!D36*D36</f>
        <v>0</v>
      </c>
      <c r="E40" s="30">
        <f>SUM(B40:D40)</f>
        <v>0</v>
      </c>
    </row>
    <row r="41" spans="1:5" ht="12.75" customHeight="1" x14ac:dyDescent="0.2">
      <c r="A41" s="28" t="str">
        <f>"      "&amp;Labels!C110</f>
        <v xml:space="preserve">      Subtotal</v>
      </c>
      <c r="B41" s="70">
        <f>SUM(B39:B40)</f>
        <v>0</v>
      </c>
      <c r="C41" s="70">
        <f>SUM(C39:C40)</f>
        <v>0</v>
      </c>
      <c r="D41" s="70">
        <f>SUM(D39:D40)</f>
        <v>0</v>
      </c>
      <c r="E41" s="30">
        <f>SUM(E39:E40)</f>
        <v>0</v>
      </c>
    </row>
    <row r="42" spans="1:5" ht="12.75" customHeight="1" x14ac:dyDescent="0.2">
      <c r="A42" s="28" t="str">
        <f>"   "&amp;Labels!B95</f>
        <v xml:space="preserve">   End</v>
      </c>
      <c r="B42" s="70"/>
      <c r="C42" s="70"/>
      <c r="D42" s="70"/>
      <c r="E42" s="30"/>
    </row>
    <row r="43" spans="1:5" ht="12.75" customHeight="1" x14ac:dyDescent="0.2">
      <c r="A43" s="89" t="str">
        <f>"      "&amp;Labels!B111</f>
        <v xml:space="preserve">      Series B</v>
      </c>
      <c r="B43" s="91">
        <f t="shared" ref="B43:D44" si="1">B35-B39</f>
        <v>0</v>
      </c>
      <c r="C43" s="91">
        <f t="shared" si="1"/>
        <v>0</v>
      </c>
      <c r="D43" s="91">
        <f t="shared" si="1"/>
        <v>0</v>
      </c>
      <c r="E43" s="30">
        <f>SUM(B43:D43)</f>
        <v>0</v>
      </c>
    </row>
    <row r="44" spans="1:5" ht="12.75" customHeight="1" x14ac:dyDescent="0.2">
      <c r="A44" s="89" t="str">
        <f>"      "&amp;Labels!B112</f>
        <v xml:space="preserve">      Series A</v>
      </c>
      <c r="B44" s="91">
        <f t="shared" si="1"/>
        <v>0</v>
      </c>
      <c r="C44" s="91">
        <f t="shared" si="1"/>
        <v>0</v>
      </c>
      <c r="D44" s="91">
        <f t="shared" si="1"/>
        <v>0</v>
      </c>
      <c r="E44" s="30">
        <f>SUM(B44:D44)</f>
        <v>0</v>
      </c>
    </row>
    <row r="45" spans="1:5" ht="12.75" customHeight="1" x14ac:dyDescent="0.2">
      <c r="A45" s="28" t="str">
        <f>"      "&amp;Labels!C110</f>
        <v xml:space="preserve">      Subtotal</v>
      </c>
      <c r="B45" s="70">
        <f>SUM(B43:B44)</f>
        <v>0</v>
      </c>
      <c r="C45" s="70">
        <f>SUM(C43:C44)</f>
        <v>0</v>
      </c>
      <c r="D45" s="70">
        <f>SUM(D43:D44)</f>
        <v>0</v>
      </c>
      <c r="E45" s="30">
        <f>SUM(E43:E44)</f>
        <v>0</v>
      </c>
    </row>
    <row r="46" spans="1:5" ht="12.75" customHeight="1" x14ac:dyDescent="0.2">
      <c r="A46" s="4"/>
      <c r="B46" s="92"/>
      <c r="C46" s="92"/>
      <c r="D46" s="92"/>
      <c r="E46" s="4"/>
    </row>
    <row r="47" spans="1:5" ht="12.75" customHeight="1" x14ac:dyDescent="0.2">
      <c r="A47" s="73" t="str">
        <f>Labels!B54</f>
        <v>Units 'in the Money'</v>
      </c>
      <c r="B47" s="138"/>
      <c r="C47" s="138"/>
      <c r="D47" s="138"/>
      <c r="E47" s="63"/>
    </row>
    <row r="48" spans="1:5" ht="12.75" customHeight="1" x14ac:dyDescent="0.2">
      <c r="A48" s="28" t="str">
        <f>"   "&amp;Labels!B111</f>
        <v xml:space="preserve">   Series B</v>
      </c>
      <c r="B48" s="97">
        <f>IF('(Other Variables)'!B181&lt;=Inputs!B101,0,Shares!B39)</f>
        <v>0</v>
      </c>
      <c r="C48" s="97">
        <f>IF('(Other Variables)'!C181&lt;=Inputs!B101,0,Shares!C39)</f>
        <v>0</v>
      </c>
      <c r="D48" s="97">
        <f>IF('(Other Variables)'!D181&lt;=Inputs!B101,0,Shares!D39)</f>
        <v>0</v>
      </c>
      <c r="E48" s="63">
        <f>SUM(B48:D48)</f>
        <v>0</v>
      </c>
    </row>
    <row r="49" spans="1:5" ht="12.75" customHeight="1" x14ac:dyDescent="0.2">
      <c r="A49" s="28" t="str">
        <f>"   "&amp;Labels!B112</f>
        <v xml:space="preserve">   Series A</v>
      </c>
      <c r="B49" s="97">
        <f>IF('(Other Variables)'!B181&lt;=Inputs!B102,0,Shares!B40)</f>
        <v>0</v>
      </c>
      <c r="C49" s="97">
        <f>IF('(Other Variables)'!C181&lt;=Inputs!B102,0,Shares!C40)</f>
        <v>0</v>
      </c>
      <c r="D49" s="97">
        <f>IF('(Other Variables)'!D181&lt;=Inputs!B102,0,Shares!D40)</f>
        <v>0</v>
      </c>
      <c r="E49" s="63">
        <f>SUM(B49:D49)</f>
        <v>0</v>
      </c>
    </row>
    <row r="50" spans="1:5" ht="12.75" customHeight="1" x14ac:dyDescent="0.2">
      <c r="A50" s="15" t="str">
        <f>"   "&amp;Labels!C110</f>
        <v xml:space="preserve">   Subtotal</v>
      </c>
      <c r="B50" s="64">
        <f>SUM(B48:B49)</f>
        <v>0</v>
      </c>
      <c r="C50" s="64">
        <f>SUM(C48:C49)</f>
        <v>0</v>
      </c>
      <c r="D50" s="64">
        <f>SUM(D48:D49)</f>
        <v>0</v>
      </c>
      <c r="E50" s="65">
        <f>SUM(E48:E49)</f>
        <v>0</v>
      </c>
    </row>
  </sheetData>
  <mergeCells count="5">
    <mergeCell ref="A1:D1"/>
    <mergeCell ref="A2:D2"/>
    <mergeCell ref="A3:D3"/>
    <mergeCell ref="A4:D4"/>
    <mergeCell ref="A5:D5"/>
  </mergeCells>
  <pageMargins left="0.25" right="0.25" top="0.5" bottom="0.5" header="0.5" footer="0.5"/>
  <pageSetup paperSize="9" fitToHeight="32767" orientation="landscape"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E22"/>
  <sheetViews>
    <sheetView zoomScaleNormal="100" workbookViewId="0"/>
  </sheetViews>
  <sheetFormatPr defaultRowHeight="12.75" customHeight="1" x14ac:dyDescent="0.2"/>
  <cols>
    <col min="1" max="1" width="19.5703125" customWidth="1"/>
    <col min="2" max="4" width="10.5703125" customWidth="1"/>
    <col min="5" max="5" width="9.42578125" customWidth="1"/>
  </cols>
  <sheetData>
    <row r="1" spans="1:5" ht="12.75" customHeight="1" x14ac:dyDescent="0.2">
      <c r="A1" s="261" t="str">
        <f>"Capitalization Table"</f>
        <v>Capitalization Table</v>
      </c>
      <c r="B1" s="261"/>
      <c r="C1" s="261"/>
      <c r="D1" s="261"/>
    </row>
    <row r="2" spans="1:5" ht="12.75" customHeight="1" x14ac:dyDescent="0.2">
      <c r="A2" s="261" t="str">
        <f>Inputs!B8</f>
        <v>ABC Corp.</v>
      </c>
      <c r="B2" s="261"/>
      <c r="C2" s="261"/>
      <c r="D2" s="261"/>
    </row>
    <row r="3" spans="1:5" ht="12.75" customHeight="1" x14ac:dyDescent="0.2">
      <c r="A3" s="261" t="str">
        <f>IF("Valuation"="(Default Input)","Ignore this sheet in normal use.","Investment Scenario "&amp;1&amp;", Valuation Scenario "&amp;1)</f>
        <v>Investment Scenario 1, Valuation Scenario 1</v>
      </c>
      <c r="B3" s="261"/>
      <c r="C3" s="261"/>
      <c r="D3" s="261"/>
    </row>
    <row r="4" spans="1:5" ht="12.75" customHeight="1" x14ac:dyDescent="0.2">
      <c r="A4" s="261" t="str">
        <f>"Valuation"</f>
        <v>Valuation</v>
      </c>
      <c r="B4" s="261"/>
      <c r="C4" s="261"/>
      <c r="D4" s="261"/>
    </row>
    <row r="5" spans="1:5" ht="12.75" customHeight="1" x14ac:dyDescent="0.2">
      <c r="A5" s="261" t="str">
        <f>""</f>
        <v/>
      </c>
      <c r="B5" s="261"/>
      <c r="C5" s="261"/>
      <c r="D5" s="261"/>
    </row>
    <row r="6" spans="1:5" ht="12.75" customHeight="1" x14ac:dyDescent="0.2">
      <c r="B6" s="6" t="str">
        <f>Labels!B98</f>
        <v>Seed</v>
      </c>
      <c r="C6" s="7" t="str">
        <f>Labels!B99</f>
        <v>Round A</v>
      </c>
      <c r="D6" s="8" t="str">
        <f>Labels!B100</f>
        <v>Exit</v>
      </c>
    </row>
    <row r="7" spans="1:5" ht="12.75" customHeight="1" x14ac:dyDescent="0.2">
      <c r="A7" s="4" t="str">
        <f>Labels!B20</f>
        <v>Event Date</v>
      </c>
      <c r="B7" s="139">
        <f>Investment!B209</f>
        <v>40391</v>
      </c>
      <c r="C7" s="139">
        <f>Investment!C209</f>
        <v>40725</v>
      </c>
      <c r="D7" s="140">
        <f>Investment!D209</f>
        <v>41061</v>
      </c>
    </row>
    <row r="9" spans="1:5" ht="12.75" customHeight="1" x14ac:dyDescent="0.2">
      <c r="A9" s="3" t="str">
        <f>"Start of Round"</f>
        <v>Start of Round</v>
      </c>
    </row>
    <row r="10" spans="1:5" ht="12.75" customHeight="1" x14ac:dyDescent="0.2">
      <c r="A10" s="4" t="str">
        <f>Labels!B22</f>
        <v>Firm Value</v>
      </c>
      <c r="B10" s="141">
        <f>'Plot Support'!B50</f>
        <v>1000000</v>
      </c>
      <c r="C10" s="141">
        <f>'Plot Support'!B51</f>
        <v>1000000</v>
      </c>
      <c r="D10" s="142">
        <f>'Plot Support'!B52</f>
        <v>1000000</v>
      </c>
    </row>
    <row r="12" spans="1:5" ht="12.75" customHeight="1" x14ac:dyDescent="0.2">
      <c r="A12" s="3" t="str">
        <f>"New Investment"</f>
        <v>New Investment</v>
      </c>
    </row>
    <row r="13" spans="1:5" ht="12.75" customHeight="1" x14ac:dyDescent="0.2">
      <c r="A13" s="4" t="str">
        <f>Labels!B42</f>
        <v>New Investment</v>
      </c>
      <c r="B13" s="141">
        <f>SUM('(Other Variables)'!B232,'(Other Variables)'!B235:B237,'(Other Variables)'!B241)</f>
        <v>1</v>
      </c>
      <c r="C13" s="141">
        <f>SUM('(Other Variables)'!C232,'(Other Variables)'!C235:C237,'(Other Variables)'!C241)</f>
        <v>0</v>
      </c>
      <c r="D13" s="141">
        <f>SUM('(Other Variables)'!D232,'(Other Variables)'!D235:D237,'(Other Variables)'!D241)</f>
        <v>0</v>
      </c>
      <c r="E13" s="47">
        <f>SUM('(Other Variables)'!E232,'(Other Variables)'!E235:E237,'(Other Variables)'!E241)</f>
        <v>1</v>
      </c>
    </row>
    <row r="15" spans="1:5" ht="12.75" customHeight="1" x14ac:dyDescent="0.2">
      <c r="A15" s="263" t="str">
        <f>"Exercise of Warrants"</f>
        <v>Exercise of Warrants</v>
      </c>
      <c r="B15" s="263"/>
    </row>
    <row r="16" spans="1:5" ht="12.75" customHeight="1" x14ac:dyDescent="0.2">
      <c r="A16" s="4" t="str">
        <f>Labels!B38</f>
        <v>Investment by Origin</v>
      </c>
      <c r="B16" s="141">
        <f>Investment!B105</f>
        <v>0</v>
      </c>
      <c r="C16" s="141">
        <f>Investment!C105</f>
        <v>0</v>
      </c>
      <c r="D16" s="141">
        <f>Investment!D105</f>
        <v>0</v>
      </c>
      <c r="E16" s="47">
        <f>SUM(B16:D16)</f>
        <v>0</v>
      </c>
    </row>
    <row r="18" spans="1:5" ht="12.75" customHeight="1" x14ac:dyDescent="0.2">
      <c r="A18" s="263" t="str">
        <f>"Exercise of Options"</f>
        <v>Exercise of Options</v>
      </c>
      <c r="B18" s="263"/>
    </row>
    <row r="19" spans="1:5" ht="12.75" customHeight="1" x14ac:dyDescent="0.2">
      <c r="A19" s="4" t="str">
        <f>Labels!B38</f>
        <v>Investment by Origin</v>
      </c>
      <c r="B19" s="141">
        <f>SUM(Investment!B107:B108)</f>
        <v>0</v>
      </c>
      <c r="C19" s="141">
        <f>SUM(Investment!C107:C108)</f>
        <v>0</v>
      </c>
      <c r="D19" s="141">
        <f>SUM(Investment!D107:D108)</f>
        <v>0</v>
      </c>
      <c r="E19" s="47">
        <f>SUM(Investment!E107:E108)</f>
        <v>0</v>
      </c>
    </row>
    <row r="21" spans="1:5" ht="12.75" customHeight="1" x14ac:dyDescent="0.2">
      <c r="A21" s="3" t="str">
        <f>"End of Round"</f>
        <v>End of Round</v>
      </c>
    </row>
    <row r="22" spans="1:5" ht="12.75" customHeight="1" x14ac:dyDescent="0.2">
      <c r="A22" s="4" t="str">
        <f>Labels!B22</f>
        <v>Firm Value</v>
      </c>
      <c r="B22" s="141">
        <f>'(Other Variables)'!B192+'(Other Variables)'!B193</f>
        <v>1000001</v>
      </c>
      <c r="C22" s="141">
        <f>'(Other Variables)'!C192+'(Other Variables)'!C193</f>
        <v>1000000</v>
      </c>
      <c r="D22" s="142">
        <f>'(Other Variables)'!D192+'(Other Variables)'!D193</f>
        <v>1000000</v>
      </c>
    </row>
  </sheetData>
  <mergeCells count="7">
    <mergeCell ref="A18:B18"/>
    <mergeCell ref="A1:D1"/>
    <mergeCell ref="A2:D2"/>
    <mergeCell ref="A3:D3"/>
    <mergeCell ref="A4:D4"/>
    <mergeCell ref="A5:D5"/>
    <mergeCell ref="A15:B15"/>
  </mergeCells>
  <pageMargins left="0.25" right="0.25" top="0.5" bottom="0.5" header="0.5" footer="0.5"/>
  <pageSetup paperSize="9" fitToHeight="32767" orientation="landscape" horizontalDpi="300" verticalDpi="300"/>
  <headerFooter alignWithMargins="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B5C0248D-D27D-45D2-A580-D89F1CCE9B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22</vt:i4>
      </vt:variant>
    </vt:vector>
  </HeadingPairs>
  <TitlesOfParts>
    <vt:vector size="40" baseType="lpstr">
      <vt:lpstr>Intro</vt:lpstr>
      <vt:lpstr>Graphs</vt:lpstr>
      <vt:lpstr>Inputs</vt:lpstr>
      <vt:lpstr>Investment</vt:lpstr>
      <vt:lpstr>Shares</vt:lpstr>
      <vt:lpstr>Conversion</vt:lpstr>
      <vt:lpstr>Prices</vt:lpstr>
      <vt:lpstr>Options</vt:lpstr>
      <vt:lpstr>Valuation</vt:lpstr>
      <vt:lpstr>Payout</vt:lpstr>
      <vt:lpstr>Formulas</vt:lpstr>
      <vt:lpstr>Boneyard</vt:lpstr>
      <vt:lpstr>Plot Support</vt:lpstr>
      <vt:lpstr>(FnCalls 1)</vt:lpstr>
      <vt:lpstr>(Other Variables)</vt:lpstr>
      <vt:lpstr>Labels</vt:lpstr>
      <vt:lpstr>(Ranges)</vt:lpstr>
      <vt:lpstr>(Import)</vt:lpstr>
      <vt:lpstr>Event_Date</vt:lpstr>
      <vt:lpstr>Firm_Value_End</vt:lpstr>
      <vt:lpstr>Firm_Value_Start</vt:lpstr>
      <vt:lpstr>Invest_by_Origin_Common_plt</vt:lpstr>
      <vt:lpstr>Invest_by_Origin_Conv_plt</vt:lpstr>
      <vt:lpstr>Invest_by_Origin_Opt_plt</vt:lpstr>
      <vt:lpstr>Invest_by_Origin_Preferred_plt</vt:lpstr>
      <vt:lpstr>Invest_by_Origin_War_plt</vt:lpstr>
      <vt:lpstr>Invest_End_Common_plt</vt:lpstr>
      <vt:lpstr>Invest_End_Conv_plt</vt:lpstr>
      <vt:lpstr>Invest_End_Opt_plt</vt:lpstr>
      <vt:lpstr>Invest_End_Preferred_plt</vt:lpstr>
      <vt:lpstr>Invest_End_War_plt</vt:lpstr>
      <vt:lpstr>Investment_Net_End_plt</vt:lpstr>
      <vt:lpstr>Investment_Net_New_plt</vt:lpstr>
      <vt:lpstr>Payout_by_Origin_Last</vt:lpstr>
      <vt:lpstr>Payout_End</vt:lpstr>
      <vt:lpstr>Payout_EndLast</vt:lpstr>
      <vt:lpstr>Intro!Print_Titles</vt:lpstr>
      <vt:lpstr>Return_Multiple</vt:lpstr>
      <vt:lpstr>Rounds_plt</vt:lpstr>
      <vt:lpstr>Securities_plt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cp:lastPrinted>2010-06-19T17:55:52Z</cp:lastPrinted>
  <dcterms:created xsi:type="dcterms:W3CDTF">2014-10-25T20:55:11Z</dcterms:created>
  <dcterms:modified xsi:type="dcterms:W3CDTF">2014-10-25T20:55:12Z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TC103363679990</vt:lpwstr>
  </property>
</Properties>
</file>